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1125" windowWidth="12345" windowHeight="7710" activeTab="7"/>
  </bookViews>
  <sheets>
    <sheet name="trial" sheetId="1" r:id="rId1"/>
    <sheet name="100 feet" sheetId="2" r:id="rId2"/>
    <sheet name="500 feet" sheetId="3" r:id="rId3"/>
    <sheet name="1000 feet" sheetId="4" r:id="rId4"/>
    <sheet name="2000 feet" sheetId="5" r:id="rId5"/>
    <sheet name="2 nozzles" sheetId="6" r:id="rId6"/>
    <sheet name="3 nozzles" sheetId="7" r:id="rId7"/>
    <sheet name="4 nozzles" sheetId="8" r:id="rId8"/>
  </sheets>
  <definedNames>
    <definedName name="_xlnm.Print_Area" localSheetId="1">'100 feet'!$A$1:$Q$40</definedName>
    <definedName name="_xlnm.Print_Area" localSheetId="5">'2 nozzles'!$A$1:$S$39</definedName>
    <definedName name="_xlnm.Print_Area" localSheetId="6">'3 nozzles'!$A$1:$S$40</definedName>
    <definedName name="_xlnm.Print_Area" localSheetId="7">'4 nozzles'!$A$1:$S$39</definedName>
  </definedNames>
  <calcPr fullCalcOnLoad="1"/>
</workbook>
</file>

<file path=xl/sharedStrings.xml><?xml version="1.0" encoding="utf-8"?>
<sst xmlns="http://schemas.openxmlformats.org/spreadsheetml/2006/main" count="541" uniqueCount="49">
  <si>
    <t>q (Usgpm)</t>
  </si>
  <si>
    <t>f coef.</t>
  </si>
  <si>
    <t>Reynolds no.</t>
  </si>
  <si>
    <t>turbine rpm</t>
  </si>
  <si>
    <t>turbine dia.</t>
  </si>
  <si>
    <t>water jet power (kW)</t>
  </si>
  <si>
    <t>power at turbine wheel (kW)</t>
  </si>
  <si>
    <t>elec. cost per month</t>
  </si>
  <si>
    <t>pipe length (ft)</t>
  </si>
  <si>
    <t>nozzle velocity  (ft/s)</t>
  </si>
  <si>
    <t>nozzle velocity based on friction (ft/s)</t>
  </si>
  <si>
    <t>pipe velocity (ft/s)</t>
  </si>
  <si>
    <t>HF (ft)</t>
  </si>
  <si>
    <t>nozzle dia. (in)</t>
  </si>
  <si>
    <t>pipe dia (in)</t>
  </si>
  <si>
    <t>no. of nozzles</t>
  </si>
  <si>
    <t>% power increase compared to 1 nozzle</t>
  </si>
  <si>
    <t>single nozzle velocity  (ft/s)</t>
  </si>
  <si>
    <t>static head (ft)</t>
  </si>
  <si>
    <t>power vs. static head for 6" pipe, (2) 0.5" dia. Nozzle</t>
  </si>
  <si>
    <t>power vs. static head for 2" pipe, optimal nozzle dia.</t>
  </si>
  <si>
    <t>power vs. static head for 3" pipe, optimal nozzle dia.</t>
  </si>
  <si>
    <t>power vs. static head for 4" pipe, optimal nozzle dia.</t>
  </si>
  <si>
    <t>power vs. static head for 6" pipe, optimal nozzle dia.</t>
  </si>
  <si>
    <t>power vs. static head for 2" pipe, (2) optimum nozzle dia.</t>
  </si>
  <si>
    <t>power vs. static head for 3" pipe, (2) optimum nozzle dia.</t>
  </si>
  <si>
    <t>power vs. static head for 4" pipe, (2) optimum nozzle dia.</t>
  </si>
  <si>
    <t>power vs. static head for 2" pipe, optimal nozzle dia. max 1.5" dia.</t>
  </si>
  <si>
    <t>power vs. static head for 3" pipe, optimal nozzle dia. max 1.5" dia.</t>
  </si>
  <si>
    <t>power vs. static head for 4" pipe, optimal nozzle dia. max 1.5" dia.</t>
  </si>
  <si>
    <t>power vs. static head for 6" pipe, optimal nozzle dia. max 1.5" dia.</t>
  </si>
  <si>
    <t>power vs. static head for 6" pipe, optimal nozzle dia. Max. 1.5" dia.</t>
  </si>
  <si>
    <t>power vs. static head for 6" pipe, optimal nozzle dia. 1.5" max. dia.</t>
  </si>
  <si>
    <t>500 feet, single nozzle</t>
  </si>
  <si>
    <t>500 feet, 2 nozzles</t>
  </si>
  <si>
    <t>500 feet, 3 nozzles</t>
  </si>
  <si>
    <t>500 feet, 4 nozzles</t>
  </si>
  <si>
    <t>turbine rpm increase %</t>
  </si>
  <si>
    <t>water jet power (W)</t>
  </si>
  <si>
    <t>water jet power (1) nozzle (W)</t>
  </si>
  <si>
    <t>power at turbine wheel (W)</t>
  </si>
  <si>
    <t>power vs. static head for 2" pipe, (3) optimum nozzle dia.</t>
  </si>
  <si>
    <t>power vs. static head for 3" pipe, (3) optimum nozzle dia.</t>
  </si>
  <si>
    <t>power vs. static head for 4" pipe, (3) optimum nozzle dia.</t>
  </si>
  <si>
    <t>power vs. static head for 6" pipe, (3) optimum nozzle dia.</t>
  </si>
  <si>
    <t>power vs. static head for 2" pipe, (4) optimum nozzle dia.</t>
  </si>
  <si>
    <t>power vs. static head for 3" pipe, (4) optimum nozzle dia.</t>
  </si>
  <si>
    <t>power vs. static head for 4" pipe, (4) optimum nozzle dia.</t>
  </si>
  <si>
    <t>power vs. static head for 6" pipe, (4) optimum nozzle dia.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</si>
</sst>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0.0%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.25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9.5"/>
      <name val="Arial"/>
      <family val="2"/>
    </font>
    <font>
      <b/>
      <sz val="11.25"/>
      <name val="Arial"/>
      <family val="0"/>
    </font>
    <font>
      <b/>
      <sz val="14.5"/>
      <name val="Arial"/>
      <family val="0"/>
    </font>
    <font>
      <b/>
      <sz val="13.75"/>
      <name val="Arial"/>
      <family val="0"/>
    </font>
    <font>
      <b/>
      <sz val="10"/>
      <color indexed="10"/>
      <name val="Arial"/>
      <family val="2"/>
    </font>
    <font>
      <sz val="11.75"/>
      <name val="Arial"/>
      <family val="0"/>
    </font>
    <font>
      <sz val="15"/>
      <name val="Arial"/>
      <family val="0"/>
    </font>
    <font>
      <b/>
      <sz val="11.75"/>
      <name val="Arial"/>
      <family val="0"/>
    </font>
    <font>
      <b/>
      <sz val="19"/>
      <name val="Arial"/>
      <family val="0"/>
    </font>
    <font>
      <b/>
      <sz val="15.25"/>
      <name val="Arial"/>
      <family val="0"/>
    </font>
    <font>
      <b/>
      <sz val="16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9" fontId="0" fillId="0" borderId="0" xfId="0" applyNumberFormat="1" applyAlignment="1">
      <alignment horizontal="left"/>
    </xf>
    <xf numFmtId="9" fontId="1" fillId="0" borderId="0" xfId="0" applyNumberFormat="1" applyFont="1" applyAlignment="1">
      <alignment horizontal="left" wrapText="1"/>
    </xf>
    <xf numFmtId="167" fontId="0" fillId="0" borderId="0" xfId="0" applyNumberFormat="1" applyAlignment="1">
      <alignment horizontal="left"/>
    </xf>
    <xf numFmtId="167" fontId="1" fillId="0" borderId="0" xfId="0" applyNumberFormat="1" applyFont="1" applyAlignment="1">
      <alignment horizontal="left" wrapText="1"/>
    </xf>
    <xf numFmtId="167" fontId="0" fillId="0" borderId="0" xfId="0" applyNumberFormat="1" applyAlignment="1">
      <alignment/>
    </xf>
    <xf numFmtId="1" fontId="0" fillId="0" borderId="0" xfId="0" applyNumberForma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wrapText="1"/>
    </xf>
    <xf numFmtId="1" fontId="0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Power vs. pipe dia. at static heads from 10 ft to 50 ft and 100 feet of pipe, single 1.5" dia. nozzle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('100 feet'!$C$3,'100 feet'!$C$11,'100 feet'!$C$21,'100 feet'!$C$33)</c:f>
              <c:numCache/>
            </c:numRef>
          </c:cat>
          <c:val>
            <c:numRef>
              <c:f>('100 feet'!$M$3,'100 feet'!$M$11,'100 feet'!$M$21,'100 feet'!$M$33)</c:f>
              <c:numCache/>
            </c:numRef>
          </c:val>
          <c:smooth val="0"/>
        </c:ser>
        <c:ser>
          <c:idx val="1"/>
          <c:order val="1"/>
          <c:tx>
            <c:v>20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('100 feet'!$M$4,'100 feet'!$M$12,'100 feet'!$M$22,'100 feet'!$M$34)</c:f>
              <c:numCache/>
            </c:numRef>
          </c:val>
          <c:smooth val="0"/>
        </c:ser>
        <c:ser>
          <c:idx val="2"/>
          <c:order val="2"/>
          <c:tx>
            <c:v>30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('100 feet'!$M$5,'100 feet'!$M$13,'100 feet'!#REF!,'100 feet'!$M$35)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40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('100 feet'!$M$6,'100 feet'!$M$14,'100 feet'!$M$24,'100 feet'!$M$36)</c:f>
              <c:numCache/>
            </c:numRef>
          </c:val>
          <c:smooth val="0"/>
        </c:ser>
        <c:ser>
          <c:idx val="4"/>
          <c:order val="4"/>
          <c:tx>
            <c:v>50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('100 feet'!$M$7,'100 feet'!$M$15,'100 feet'!$M$25,'100 feet'!$M$37)</c:f>
              <c:numCache/>
            </c:numRef>
          </c:val>
          <c:smooth val="0"/>
        </c:ser>
        <c:marker val="1"/>
        <c:axId val="67082533"/>
        <c:axId val="66871886"/>
      </c:lineChart>
      <c:catAx>
        <c:axId val="6708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Pipe diameter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71886"/>
        <c:crosses val="autoZero"/>
        <c:auto val="1"/>
        <c:lblOffset val="100"/>
        <c:noMultiLvlLbl val="0"/>
      </c:catAx>
      <c:valAx>
        <c:axId val="6687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82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Power vs. static head at various pipe dias. from 2" to 6" and 100 feet of pipe, single 1.5" dia. nozzle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'100 feet'!$B$21:$B$27</c:f>
              <c:numCache/>
            </c:numRef>
          </c:cat>
          <c:val>
            <c:numRef>
              <c:f>'100 feet'!$M$3:$M$7</c:f>
              <c:numCache/>
            </c:numRef>
          </c:val>
          <c:smooth val="0"/>
        </c:ser>
        <c:ser>
          <c:idx val="1"/>
          <c:order val="1"/>
          <c:tx>
            <c:v>3"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'100 feet'!$B$21:$B$27</c:f>
              <c:numCache/>
            </c:numRef>
          </c:cat>
          <c:val>
            <c:numRef>
              <c:f>'100 feet'!$M$11:$M$17</c:f>
              <c:numCache/>
            </c:numRef>
          </c:val>
          <c:smooth val="0"/>
        </c:ser>
        <c:ser>
          <c:idx val="2"/>
          <c:order val="2"/>
          <c:tx>
            <c:v>4"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'100 feet'!$M$21:$M$27</c:f>
              <c:numCache/>
            </c:numRef>
          </c:val>
          <c:smooth val="0"/>
        </c:ser>
        <c:ser>
          <c:idx val="3"/>
          <c:order val="3"/>
          <c:tx>
            <c:v>6"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'100 feet'!$M$33:$M$39</c:f>
              <c:numCache/>
            </c:numRef>
          </c:val>
          <c:smooth val="0"/>
        </c:ser>
        <c:marker val="1"/>
        <c:axId val="64976063"/>
        <c:axId val="47913656"/>
      </c:lineChart>
      <c:catAx>
        <c:axId val="6497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Static Head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13656"/>
        <c:crosses val="autoZero"/>
        <c:auto val="1"/>
        <c:lblOffset val="100"/>
        <c:noMultiLvlLbl val="0"/>
      </c:catAx>
      <c:valAx>
        <c:axId val="4791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6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Power vs. pipe dia. at static heads from 25 to 150 ft and 500 feet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25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('500 feet'!$C$4,'500 feet'!$C$12,'500 feet'!$C$21,'500 feet'!$C$30)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('500 feet'!$M$4,'500 feet'!$M$12,'500 feet'!$M$21,'500 feet'!$M$30)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50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('500 feet'!$M$5,'500 feet'!$M$13,'500 feet'!$M$22,'500 feet'!$M$31)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75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('500 feet'!$M$6,'500 feet'!$M$14,'500 feet'!$M$23,'500 feet'!$M$32)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100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('500 feet'!$M$7,'500 feet'!$M$15,'500 feet'!$M$24,'500 feet'!$M$33)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150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('500 feet'!$M$8,'500 feet'!$M$16,'500 feet'!$M$25,'500 feet'!$M$34)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8569721"/>
        <c:axId val="55800898"/>
      </c:lineChart>
      <c:catAx>
        <c:axId val="28569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Pipe diameter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0898"/>
        <c:crosses val="autoZero"/>
        <c:auto val="1"/>
        <c:lblOffset val="100"/>
        <c:noMultiLvlLbl val="0"/>
      </c:catAx>
      <c:valAx>
        <c:axId val="5580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69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vs. static head at various pipe dias. from 2" to 6" and 500 feet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'500 feet'!$B$4:$B$8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'500 feet'!$M$4:$M$8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'500 feet'!$M$12:$M$16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'500 feet'!$M$21:$M$25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6"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'500 feet'!$L$30:$L$34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446035"/>
        <c:axId val="23578860"/>
      </c:lineChart>
      <c:catAx>
        <c:axId val="32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Static head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46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vs. pipe dia. at static heads from 50 to 150 ft and 1000 feet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('1000 feet'!$C$3,'1000 feet'!$C$12,'1000 feet'!$C$22,'1000 feet'!$C$32)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('1000 feet'!$L$3,'1000 feet'!$L$12,'1000 feet'!$L$22,'1000 feet'!$L$32)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75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('1000 feet'!$L$4,'1000 feet'!$L$13,'1000 feet'!$L$23,'1000 feet'!$L$33)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('1000 feet'!$L$5,'1000 feet'!$L$14,'1000 feet'!$L$24,'1000 feet'!$L$34)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150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('1000 feet'!$L$7,'1000 feet'!$L$16,'1000 feet'!$L$25,'1000 feet'!$L$36)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0883149"/>
        <c:axId val="30839478"/>
      </c:lineChart>
      <c:cat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Pipe diameter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83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Power vs. static head at various pipe dias. from 2" to 6" and 1000 feet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'1000 feet'!$B$3:$B$8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'1000 feet'!$L$3:$L$8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'1000 feet'!$K$12:$K$17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'1000 feet'!$L$22:$L$27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6"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'1000 feet'!$L$32:$L$37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9119847"/>
        <c:axId val="14969760"/>
      </c:lineChart>
      <c:catAx>
        <c:axId val="91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Static head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69760"/>
        <c:crosses val="autoZero"/>
        <c:auto val="1"/>
        <c:lblOffset val="100"/>
        <c:noMultiLvlLbl val="0"/>
      </c:catAx>
      <c:valAx>
        <c:axId val="149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19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vs. pipe dia. at static heads from 50 to 150 ft and 2000 feet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('2000 feet'!$C$3,'2000 feet'!$C$12,'2000 feet'!$C$22,'2000 feet'!$C$31)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('2000 feet'!$L$3,'2000 feet'!$L$12,'2000 feet'!$L$22,'2000 feet'!$L$31)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75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('2000 feet'!$L$4,'2000 feet'!$L$13,'2000 feet'!$L$23,'2000 feet'!$L$32)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('2000 feet'!$L$5,'2000 feet'!$L$14,'2000 feet'!$L$24,'2000 feet'!$L$33)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150 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('2000 feet'!$L$7,'2000 feet'!$L$16,'2000 feet'!$L$26,'2000 feet'!$L$35)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10113"/>
        <c:axId val="4591018"/>
      </c:lineChart>
      <c:catAx>
        <c:axId val="51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Pipe diameter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1018"/>
        <c:crosses val="autoZero"/>
        <c:auto val="1"/>
        <c:lblOffset val="100"/>
        <c:noMultiLvlLbl val="0"/>
      </c:catAx>
      <c:valAx>
        <c:axId val="459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Power vs. static head at various pipe dias. from 2" to 6" and 2000 feet of pipe, single nozzle of varying size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'2000 feet'!$B$3:$B$8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'2000 feet'!$L$3:$L$8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'2000 feet'!$L$12:$L$17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'2000 feet'!$L$22:$L$27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6" dia.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'2000 feet'!$L$31:$L$36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1319163"/>
        <c:axId val="36328148"/>
      </c:lineChart>
      <c:catAx>
        <c:axId val="41319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Static head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28148"/>
        <c:crosses val="autoZero"/>
        <c:auto val="1"/>
        <c:lblOffset val="100"/>
        <c:noMultiLvlLbl val="0"/>
      </c:catAx>
      <c:valAx>
        <c:axId val="3632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 at turbine wheel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19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9525</xdr:rowOff>
    </xdr:from>
    <xdr:to>
      <xdr:col>7</xdr:col>
      <xdr:colOff>381000</xdr:colOff>
      <xdr:row>10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1790700"/>
          <a:ext cx="38004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I is equal to the velocity that corresponds to flow in column J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34</xdr:row>
      <xdr:rowOff>114300</xdr:rowOff>
    </xdr:from>
    <xdr:to>
      <xdr:col>15</xdr:col>
      <xdr:colOff>628650</xdr:colOff>
      <xdr:row>37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76975" y="8896350"/>
          <a:ext cx="24479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increase is due to limit on nozzle size of 1.5" on the single nozzle case.</a:t>
          </a:r>
        </a:p>
      </xdr:txBody>
    </xdr:sp>
    <xdr:clientData/>
  </xdr:twoCellAnchor>
  <xdr:twoCellAnchor>
    <xdr:from>
      <xdr:col>19</xdr:col>
      <xdr:colOff>400050</xdr:colOff>
      <xdr:row>19</xdr:row>
      <xdr:rowOff>438150</xdr:rowOff>
    </xdr:from>
    <xdr:to>
      <xdr:col>26</xdr:col>
      <xdr:colOff>323850</xdr:colOff>
      <xdr:row>21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58525" y="5172075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34</xdr:row>
      <xdr:rowOff>142875</xdr:rowOff>
    </xdr:from>
    <xdr:to>
      <xdr:col>16</xdr:col>
      <xdr:colOff>266700</xdr:colOff>
      <xdr:row>37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81775" y="8924925"/>
          <a:ext cx="24479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increase is due to limit on nozzle size of 1.5" on the single nozzle case.</a:t>
          </a:r>
        </a:p>
      </xdr:txBody>
    </xdr:sp>
    <xdr:clientData/>
  </xdr:twoCellAnchor>
  <xdr:twoCellAnchor>
    <xdr:from>
      <xdr:col>19</xdr:col>
      <xdr:colOff>209550</xdr:colOff>
      <xdr:row>2</xdr:row>
      <xdr:rowOff>171450</xdr:rowOff>
    </xdr:from>
    <xdr:to>
      <xdr:col>26</xdr:col>
      <xdr:colOff>133350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77525" y="533400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34</xdr:row>
      <xdr:rowOff>123825</xdr:rowOff>
    </xdr:from>
    <xdr:to>
      <xdr:col>15</xdr:col>
      <xdr:colOff>666750</xdr:colOff>
      <xdr:row>37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38875" y="8905875"/>
          <a:ext cx="24288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increase is due to limit on nozzle size of 1.5" on the single nozzle case.</a:t>
          </a:r>
        </a:p>
      </xdr:txBody>
    </xdr:sp>
    <xdr:clientData/>
  </xdr:twoCellAnchor>
  <xdr:twoCellAnchor>
    <xdr:from>
      <xdr:col>19</xdr:col>
      <xdr:colOff>9525</xdr:colOff>
      <xdr:row>19</xdr:row>
      <xdr:rowOff>9525</xdr:rowOff>
    </xdr:from>
    <xdr:to>
      <xdr:col>25</xdr:col>
      <xdr:colOff>542925</xdr:colOff>
      <xdr:row>19</xdr:row>
      <xdr:rowOff>838200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77525" y="4743450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0.90375</cdr:x>
      <cdr:y>0.27975</cdr:y>
    </cdr:from>
    <cdr:to>
      <cdr:x>0.9875</cdr:x>
      <cdr:y>0.357</cdr:y>
    </cdr:to>
    <cdr:sp>
      <cdr:nvSpPr>
        <cdr:cNvPr id="1" name="TextBox 1"/>
        <cdr:cNvSpPr txBox="1">
          <a:spLocks noChangeArrowheads="1"/>
        </cdr:cNvSpPr>
      </cdr:nvSpPr>
      <cdr:spPr>
        <a:xfrm>
          <a:off x="6753225" y="1247775"/>
          <a:ext cx="628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Static head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9</xdr:row>
      <xdr:rowOff>180975</xdr:rowOff>
    </xdr:from>
    <xdr:to>
      <xdr:col>30</xdr:col>
      <xdr:colOff>400050</xdr:colOff>
      <xdr:row>31</xdr:row>
      <xdr:rowOff>438150</xdr:rowOff>
    </xdr:to>
    <xdr:graphicFrame>
      <xdr:nvGraphicFramePr>
        <xdr:cNvPr id="1" name="Chart 1"/>
        <xdr:cNvGraphicFramePr/>
      </xdr:nvGraphicFramePr>
      <xdr:xfrm>
        <a:off x="12049125" y="1962150"/>
        <a:ext cx="74771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85725</xdr:colOff>
      <xdr:row>1</xdr:row>
      <xdr:rowOff>9525</xdr:rowOff>
    </xdr:from>
    <xdr:to>
      <xdr:col>25</xdr:col>
      <xdr:colOff>9525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96725" y="171450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  <xdr:twoCellAnchor>
    <xdr:from>
      <xdr:col>18</xdr:col>
      <xdr:colOff>304800</xdr:colOff>
      <xdr:row>33</xdr:row>
      <xdr:rowOff>85725</xdr:rowOff>
    </xdr:from>
    <xdr:to>
      <xdr:col>30</xdr:col>
      <xdr:colOff>428625</xdr:colOff>
      <xdr:row>61</xdr:row>
      <xdr:rowOff>142875</xdr:rowOff>
    </xdr:to>
    <xdr:graphicFrame>
      <xdr:nvGraphicFramePr>
        <xdr:cNvPr id="3" name="Chart 3"/>
        <xdr:cNvGraphicFramePr/>
      </xdr:nvGraphicFramePr>
      <xdr:xfrm>
        <a:off x="12115800" y="6724650"/>
        <a:ext cx="74390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0.28975</cdr:y>
    </cdr:from>
    <cdr:to>
      <cdr:x>0.9955</cdr:x>
      <cdr:y>0.378</cdr:y>
    </cdr:to>
    <cdr:sp>
      <cdr:nvSpPr>
        <cdr:cNvPr id="1" name="TextBox 1"/>
        <cdr:cNvSpPr txBox="1">
          <a:spLocks noChangeArrowheads="1"/>
        </cdr:cNvSpPr>
      </cdr:nvSpPr>
      <cdr:spPr>
        <a:xfrm>
          <a:off x="6353175" y="1543050"/>
          <a:ext cx="762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Static head</a:t>
          </a:r>
        </a:p>
      </cdr:txBody>
    </cdr:sp>
  </cdr:relSizeAnchor>
  <cdr:relSizeAnchor xmlns:cdr="http://schemas.openxmlformats.org/drawingml/2006/chartDrawing">
    <cdr:from>
      <cdr:x>0.107</cdr:x>
      <cdr:y>0.9175</cdr:y>
    </cdr:from>
    <cdr:to>
      <cdr:x>0.2315</cdr:x>
      <cdr:y>0.97625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4905375"/>
          <a:ext cx="885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0.5" nozzle</a:t>
          </a:r>
        </a:p>
      </cdr:txBody>
    </cdr:sp>
  </cdr:relSizeAnchor>
  <cdr:relSizeAnchor xmlns:cdr="http://schemas.openxmlformats.org/drawingml/2006/chartDrawing">
    <cdr:from>
      <cdr:x>0.2525</cdr:x>
      <cdr:y>0.9175</cdr:y>
    </cdr:from>
    <cdr:to>
      <cdr:x>0.376</cdr:x>
      <cdr:y>0.97625</cdr:y>
    </cdr:to>
    <cdr:sp>
      <cdr:nvSpPr>
        <cdr:cNvPr id="3" name="TextBox 4"/>
        <cdr:cNvSpPr txBox="1">
          <a:spLocks noChangeArrowheads="1"/>
        </cdr:cNvSpPr>
      </cdr:nvSpPr>
      <cdr:spPr>
        <a:xfrm>
          <a:off x="1800225" y="4905375"/>
          <a:ext cx="885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0.5" nozzle</a:t>
          </a:r>
        </a:p>
      </cdr:txBody>
    </cdr:sp>
  </cdr:relSizeAnchor>
  <cdr:relSizeAnchor xmlns:cdr="http://schemas.openxmlformats.org/drawingml/2006/chartDrawing">
    <cdr:from>
      <cdr:x>0.58425</cdr:x>
      <cdr:y>0.9175</cdr:y>
    </cdr:from>
    <cdr:to>
      <cdr:x>0.7085</cdr:x>
      <cdr:y>0.97625</cdr:y>
    </cdr:to>
    <cdr:sp>
      <cdr:nvSpPr>
        <cdr:cNvPr id="4" name="TextBox 5"/>
        <cdr:cNvSpPr txBox="1">
          <a:spLocks noChangeArrowheads="1"/>
        </cdr:cNvSpPr>
      </cdr:nvSpPr>
      <cdr:spPr>
        <a:xfrm>
          <a:off x="4171950" y="4905375"/>
          <a:ext cx="885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1.5" nozzle</a:t>
          </a:r>
        </a:p>
      </cdr:txBody>
    </cdr:sp>
  </cdr:relSizeAnchor>
  <cdr:relSizeAnchor xmlns:cdr="http://schemas.openxmlformats.org/drawingml/2006/chartDrawing">
    <cdr:from>
      <cdr:x>0.72025</cdr:x>
      <cdr:y>0.9175</cdr:y>
    </cdr:from>
    <cdr:to>
      <cdr:x>0.8445</cdr:x>
      <cdr:y>0.97625</cdr:y>
    </cdr:to>
    <cdr:sp>
      <cdr:nvSpPr>
        <cdr:cNvPr id="5" name="TextBox 6"/>
        <cdr:cNvSpPr txBox="1">
          <a:spLocks noChangeArrowheads="1"/>
        </cdr:cNvSpPr>
      </cdr:nvSpPr>
      <cdr:spPr>
        <a:xfrm>
          <a:off x="5143500" y="4905375"/>
          <a:ext cx="885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1.5" nozzle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209550</xdr:colOff>
      <xdr:row>6</xdr:row>
      <xdr:rowOff>133350</xdr:rowOff>
    </xdr:from>
    <xdr:to>
      <xdr:col>30</xdr:col>
      <xdr:colOff>47625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1706225" y="1466850"/>
        <a:ext cx="7153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76200</xdr:colOff>
      <xdr:row>26</xdr:row>
      <xdr:rowOff>95250</xdr:rowOff>
    </xdr:from>
    <xdr:to>
      <xdr:col>25</xdr:col>
      <xdr:colOff>123825</xdr:colOff>
      <xdr:row>27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230475" y="5314950"/>
          <a:ext cx="657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1.5" nozzle</a:t>
          </a:r>
        </a:p>
      </xdr:txBody>
    </xdr:sp>
    <xdr:clientData/>
  </xdr:twoCellAnchor>
  <xdr:twoCellAnchor>
    <xdr:from>
      <xdr:col>25</xdr:col>
      <xdr:colOff>314325</xdr:colOff>
      <xdr:row>26</xdr:row>
      <xdr:rowOff>104775</xdr:rowOff>
    </xdr:from>
    <xdr:to>
      <xdr:col>26</xdr:col>
      <xdr:colOff>342900</xdr:colOff>
      <xdr:row>27</xdr:row>
      <xdr:rowOff>123825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6078200" y="5324475"/>
          <a:ext cx="638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1.5" nozzle</a:t>
          </a:r>
        </a:p>
      </xdr:txBody>
    </xdr:sp>
    <xdr:clientData/>
  </xdr:twoCellAnchor>
  <xdr:twoCellAnchor>
    <xdr:from>
      <xdr:col>17</xdr:col>
      <xdr:colOff>352425</xdr:colOff>
      <xdr:row>0</xdr:row>
      <xdr:rowOff>180975</xdr:rowOff>
    </xdr:from>
    <xdr:to>
      <xdr:col>24</xdr:col>
      <xdr:colOff>276225</xdr:colOff>
      <xdr:row>4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1239500" y="180975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  <xdr:twoCellAnchor>
    <xdr:from>
      <xdr:col>18</xdr:col>
      <xdr:colOff>257175</xdr:colOff>
      <xdr:row>34</xdr:row>
      <xdr:rowOff>114300</xdr:rowOff>
    </xdr:from>
    <xdr:to>
      <xdr:col>31</xdr:col>
      <xdr:colOff>66675</xdr:colOff>
      <xdr:row>64</xdr:row>
      <xdr:rowOff>47625</xdr:rowOff>
    </xdr:to>
    <xdr:graphicFrame>
      <xdr:nvGraphicFramePr>
        <xdr:cNvPr id="5" name="Chart 12"/>
        <xdr:cNvGraphicFramePr/>
      </xdr:nvGraphicFramePr>
      <xdr:xfrm>
        <a:off x="11753850" y="6953250"/>
        <a:ext cx="77343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</cdr:x>
      <cdr:y>0.34825</cdr:y>
    </cdr:from>
    <cdr:to>
      <cdr:x>0.98875</cdr:x>
      <cdr:y>0.42125</cdr:y>
    </cdr:to>
    <cdr:sp>
      <cdr:nvSpPr>
        <cdr:cNvPr id="1" name="TextBox 1"/>
        <cdr:cNvSpPr txBox="1">
          <a:spLocks noChangeArrowheads="1"/>
        </cdr:cNvSpPr>
      </cdr:nvSpPr>
      <cdr:spPr>
        <a:xfrm>
          <a:off x="6467475" y="1924050"/>
          <a:ext cx="762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Static head</a:t>
          </a:r>
        </a:p>
      </cdr:txBody>
    </cdr:sp>
  </cdr:relSizeAnchor>
  <cdr:relSizeAnchor xmlns:cdr="http://schemas.openxmlformats.org/drawingml/2006/chartDrawing">
    <cdr:from>
      <cdr:x>0.12225</cdr:x>
      <cdr:y>0.909</cdr:y>
    </cdr:from>
    <cdr:to>
      <cdr:x>0.241</cdr:x>
      <cdr:y>0.9455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502920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0.5" nozzle</a:t>
          </a:r>
        </a:p>
      </cdr:txBody>
    </cdr:sp>
  </cdr:relSizeAnchor>
  <cdr:relSizeAnchor xmlns:cdr="http://schemas.openxmlformats.org/drawingml/2006/chartDrawing">
    <cdr:from>
      <cdr:x>0.2495</cdr:x>
      <cdr:y>0.909</cdr:y>
    </cdr:from>
    <cdr:to>
      <cdr:x>0.3685</cdr:x>
      <cdr:y>0.9455</cdr:y>
    </cdr:to>
    <cdr:sp>
      <cdr:nvSpPr>
        <cdr:cNvPr id="3" name="TextBox 3"/>
        <cdr:cNvSpPr txBox="1">
          <a:spLocks noChangeArrowheads="1"/>
        </cdr:cNvSpPr>
      </cdr:nvSpPr>
      <cdr:spPr>
        <a:xfrm>
          <a:off x="1819275" y="502920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1" nozzle</a:t>
          </a:r>
        </a:p>
      </cdr:txBody>
    </cdr:sp>
  </cdr:relSizeAnchor>
  <cdr:relSizeAnchor xmlns:cdr="http://schemas.openxmlformats.org/drawingml/2006/chartDrawing">
    <cdr:from>
      <cdr:x>0.585</cdr:x>
      <cdr:y>0.909</cdr:y>
    </cdr:from>
    <cdr:to>
      <cdr:x>0.7345</cdr:x>
      <cdr:y>0.9455</cdr:y>
    </cdr:to>
    <cdr:sp>
      <cdr:nvSpPr>
        <cdr:cNvPr id="4" name="TextBox 4"/>
        <cdr:cNvSpPr txBox="1">
          <a:spLocks noChangeArrowheads="1"/>
        </cdr:cNvSpPr>
      </cdr:nvSpPr>
      <cdr:spPr>
        <a:xfrm>
          <a:off x="4276725" y="5029200"/>
          <a:ext cx="1095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1.25" nozzle</a:t>
          </a:r>
        </a:p>
      </cdr:txBody>
    </cdr:sp>
  </cdr:relSizeAnchor>
  <cdr:relSizeAnchor xmlns:cdr="http://schemas.openxmlformats.org/drawingml/2006/chartDrawing">
    <cdr:from>
      <cdr:x>0.7345</cdr:x>
      <cdr:y>0.909</cdr:y>
    </cdr:from>
    <cdr:to>
      <cdr:x>0.85325</cdr:x>
      <cdr:y>0.9455</cdr:y>
    </cdr:to>
    <cdr:sp>
      <cdr:nvSpPr>
        <cdr:cNvPr id="5" name="TextBox 5"/>
        <cdr:cNvSpPr txBox="1">
          <a:spLocks noChangeArrowheads="1"/>
        </cdr:cNvSpPr>
      </cdr:nvSpPr>
      <cdr:spPr>
        <a:xfrm>
          <a:off x="5372100" y="502920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1.5" nozzle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7</xdr:row>
      <xdr:rowOff>47625</xdr:rowOff>
    </xdr:from>
    <xdr:to>
      <xdr:col>28</xdr:col>
      <xdr:colOff>266700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0382250" y="1504950"/>
        <a:ext cx="73152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561975</xdr:colOff>
      <xdr:row>1</xdr:row>
      <xdr:rowOff>9525</xdr:rowOff>
    </xdr:from>
    <xdr:to>
      <xdr:col>24</xdr:col>
      <xdr:colOff>485775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287125" y="171450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J is equal to the velocity that corresponds to flow in column K</a:t>
          </a:r>
        </a:p>
      </xdr:txBody>
    </xdr:sp>
    <xdr:clientData/>
  </xdr:twoCellAnchor>
  <xdr:twoCellAnchor>
    <xdr:from>
      <xdr:col>16</xdr:col>
      <xdr:colOff>190500</xdr:colOff>
      <xdr:row>36</xdr:row>
      <xdr:rowOff>76200</xdr:rowOff>
    </xdr:from>
    <xdr:to>
      <xdr:col>28</xdr:col>
      <xdr:colOff>600075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10306050" y="7200900"/>
        <a:ext cx="77247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0.88825</cdr:x>
      <cdr:y>0.334</cdr:y>
    </cdr:from>
    <cdr:to>
      <cdr:x>0.991</cdr:x>
      <cdr:y>0.4235</cdr:y>
    </cdr:to>
    <cdr:sp>
      <cdr:nvSpPr>
        <cdr:cNvPr id="1" name="TextBox 1"/>
        <cdr:cNvSpPr txBox="1">
          <a:spLocks noChangeArrowheads="1"/>
        </cdr:cNvSpPr>
      </cdr:nvSpPr>
      <cdr:spPr>
        <a:xfrm>
          <a:off x="5848350" y="1781175"/>
          <a:ext cx="676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Static head</a:t>
          </a:r>
        </a:p>
      </cdr:txBody>
    </cdr:sp>
  </cdr:relSizeAnchor>
  <cdr:relSizeAnchor xmlns:cdr="http://schemas.openxmlformats.org/drawingml/2006/chartDrawing">
    <cdr:from>
      <cdr:x>0.106</cdr:x>
      <cdr:y>0.913</cdr:y>
    </cdr:from>
    <cdr:to>
      <cdr:x>0.23475</cdr:x>
      <cdr:y>0.95075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4867275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0.37" nozzle</a:t>
          </a:r>
        </a:p>
      </cdr:txBody>
    </cdr:sp>
  </cdr:relSizeAnchor>
  <cdr:relSizeAnchor xmlns:cdr="http://schemas.openxmlformats.org/drawingml/2006/chartDrawing">
    <cdr:from>
      <cdr:x>0.262</cdr:x>
      <cdr:y>0.913</cdr:y>
    </cdr:from>
    <cdr:to>
      <cdr:x>0.3875</cdr:x>
      <cdr:y>0.95075</cdr:y>
    </cdr:to>
    <cdr:sp>
      <cdr:nvSpPr>
        <cdr:cNvPr id="3" name="TextBox 3"/>
        <cdr:cNvSpPr txBox="1">
          <a:spLocks noChangeArrowheads="1"/>
        </cdr:cNvSpPr>
      </cdr:nvSpPr>
      <cdr:spPr>
        <a:xfrm>
          <a:off x="1724025" y="4867275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0.75" nozzle</a:t>
          </a:r>
        </a:p>
      </cdr:txBody>
    </cdr:sp>
  </cdr:relSizeAnchor>
  <cdr:relSizeAnchor xmlns:cdr="http://schemas.openxmlformats.org/drawingml/2006/chartDrawing">
    <cdr:from>
      <cdr:x>0.58375</cdr:x>
      <cdr:y>0.913</cdr:y>
    </cdr:from>
    <cdr:to>
      <cdr:x>0.6915</cdr:x>
      <cdr:y>0.95075</cdr:y>
    </cdr:to>
    <cdr:sp>
      <cdr:nvSpPr>
        <cdr:cNvPr id="4" name="TextBox 4"/>
        <cdr:cNvSpPr txBox="1">
          <a:spLocks noChangeArrowheads="1"/>
        </cdr:cNvSpPr>
      </cdr:nvSpPr>
      <cdr:spPr>
        <a:xfrm>
          <a:off x="3838575" y="4867275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1" nozzle</a:t>
          </a:r>
        </a:p>
      </cdr:txBody>
    </cdr:sp>
  </cdr:relSizeAnchor>
  <cdr:relSizeAnchor xmlns:cdr="http://schemas.openxmlformats.org/drawingml/2006/chartDrawing">
    <cdr:from>
      <cdr:x>0.71725</cdr:x>
      <cdr:y>0.913</cdr:y>
    </cdr:from>
    <cdr:to>
      <cdr:x>0.825</cdr:x>
      <cdr:y>0.95075</cdr:y>
    </cdr:to>
    <cdr:sp>
      <cdr:nvSpPr>
        <cdr:cNvPr id="5" name="TextBox 5"/>
        <cdr:cNvSpPr txBox="1">
          <a:spLocks noChangeArrowheads="1"/>
        </cdr:cNvSpPr>
      </cdr:nvSpPr>
      <cdr:spPr>
        <a:xfrm>
          <a:off x="4724400" y="4867275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1.5" nozzle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8</xdr:row>
      <xdr:rowOff>57150</xdr:rowOff>
    </xdr:from>
    <xdr:to>
      <xdr:col>27</xdr:col>
      <xdr:colOff>533400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1315700" y="1676400"/>
        <a:ext cx="65913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1</xdr:row>
      <xdr:rowOff>9525</xdr:rowOff>
    </xdr:from>
    <xdr:to>
      <xdr:col>23</xdr:col>
      <xdr:colOff>542925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287125" y="171450"/>
          <a:ext cx="4191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calculations  are a result of an iterative process, the flow number in column A must be changed up or down such that the velocity that corresponds to friction in column I is equal to the velocity that corresponds to flow in column J</a:t>
          </a:r>
        </a:p>
      </xdr:txBody>
    </xdr:sp>
    <xdr:clientData/>
  </xdr:twoCellAnchor>
  <xdr:twoCellAnchor>
    <xdr:from>
      <xdr:col>17</xdr:col>
      <xdr:colOff>66675</xdr:colOff>
      <xdr:row>36</xdr:row>
      <xdr:rowOff>66675</xdr:rowOff>
    </xdr:from>
    <xdr:to>
      <xdr:col>28</xdr:col>
      <xdr:colOff>276225</xdr:colOff>
      <xdr:row>59</xdr:row>
      <xdr:rowOff>66675</xdr:rowOff>
    </xdr:to>
    <xdr:graphicFrame>
      <xdr:nvGraphicFramePr>
        <xdr:cNvPr id="3" name="Chart 3"/>
        <xdr:cNvGraphicFramePr/>
      </xdr:nvGraphicFramePr>
      <xdr:xfrm>
        <a:off x="11344275" y="7191375"/>
        <a:ext cx="6915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K12" sqref="K12"/>
    </sheetView>
  </sheetViews>
  <sheetFormatPr defaultColWidth="9.140625" defaultRowHeight="12.75"/>
  <cols>
    <col min="1" max="1" width="10.8515625" style="0" customWidth="1"/>
    <col min="3" max="3" width="9.140625" style="7" customWidth="1"/>
    <col min="4" max="4" width="10.7109375" style="0" customWidth="1"/>
    <col min="5" max="5" width="6.7109375" style="0" customWidth="1"/>
    <col min="6" max="6" width="7.7109375" style="0" customWidth="1"/>
    <col min="15" max="15" width="11.140625" style="0" customWidth="1"/>
  </cols>
  <sheetData>
    <row r="1" spans="1:16" ht="12.75">
      <c r="A1" s="9" t="s">
        <v>28</v>
      </c>
      <c r="B1" s="10"/>
      <c r="C1" s="11"/>
      <c r="D1" s="10"/>
      <c r="E1" s="12"/>
      <c r="F1" s="12"/>
      <c r="G1" s="12"/>
      <c r="H1" s="12"/>
      <c r="I1" s="12"/>
      <c r="J1" s="12"/>
      <c r="K1" s="13"/>
      <c r="L1" s="13"/>
      <c r="M1" s="14"/>
      <c r="N1" s="15"/>
      <c r="O1" s="16"/>
      <c r="P1" s="10"/>
    </row>
    <row r="2" spans="1:16" ht="76.5">
      <c r="A2" s="9" t="s">
        <v>0</v>
      </c>
      <c r="B2" s="17" t="s">
        <v>18</v>
      </c>
      <c r="C2" s="18" t="s">
        <v>14</v>
      </c>
      <c r="D2" s="9" t="s">
        <v>13</v>
      </c>
      <c r="E2" s="9" t="s">
        <v>12</v>
      </c>
      <c r="F2" s="19" t="s">
        <v>1</v>
      </c>
      <c r="G2" s="20" t="s">
        <v>2</v>
      </c>
      <c r="H2" s="18" t="s">
        <v>11</v>
      </c>
      <c r="I2" s="17" t="s">
        <v>10</v>
      </c>
      <c r="J2" s="18" t="s">
        <v>9</v>
      </c>
      <c r="K2" s="21" t="s">
        <v>5</v>
      </c>
      <c r="L2" s="21" t="s">
        <v>6</v>
      </c>
      <c r="M2" s="22" t="s">
        <v>7</v>
      </c>
      <c r="N2" s="18" t="s">
        <v>8</v>
      </c>
      <c r="O2" s="20" t="s">
        <v>3</v>
      </c>
      <c r="P2" s="9" t="s">
        <v>4</v>
      </c>
    </row>
    <row r="3" spans="1:16" ht="12.75">
      <c r="A3" s="10">
        <v>200</v>
      </c>
      <c r="B3" s="10">
        <v>10</v>
      </c>
      <c r="C3" s="11">
        <v>3</v>
      </c>
      <c r="D3" s="10">
        <v>1.5</v>
      </c>
      <c r="E3" s="13">
        <f>1200*F3*H3^2/C3/2/32.17*N3/100</f>
        <v>9.917515433588735</v>
      </c>
      <c r="F3" s="13">
        <f>LOG((0.00015*12/C3/3.7)+5.74/G3^0.9)^-2*0.25</f>
        <v>0.019358194810238472</v>
      </c>
      <c r="G3" s="16">
        <f>7745.8*H3*C3/1</f>
        <v>210943.9533333333</v>
      </c>
      <c r="H3" s="12">
        <f>0.4085*A3/C3^2</f>
        <v>9.077777777777776</v>
      </c>
      <c r="I3" s="12">
        <f>(64.34*(B3-E3))^0.5</f>
        <v>2.3037050598765503</v>
      </c>
      <c r="J3" s="12">
        <f>0.4085*A3/D3^2</f>
        <v>36.3111111111111</v>
      </c>
      <c r="K3" s="13">
        <f>0.000002929*A3*J3^2</f>
        <v>0.7723754196543204</v>
      </c>
      <c r="L3" s="13">
        <f>0.9*0.5*K3</f>
        <v>0.34756893884444423</v>
      </c>
      <c r="M3" s="14">
        <f>L3*0.07*24*30</f>
        <v>17.51747451775999</v>
      </c>
      <c r="N3" s="15">
        <v>100</v>
      </c>
      <c r="O3" s="16">
        <f>0.5*229.2*J3/P3</f>
        <v>1040.313333333333</v>
      </c>
      <c r="P3" s="10">
        <v>4</v>
      </c>
    </row>
    <row r="4" spans="1:16" ht="12.75">
      <c r="A4" s="10">
        <v>100</v>
      </c>
      <c r="B4" s="10">
        <v>10</v>
      </c>
      <c r="C4" s="11">
        <v>3</v>
      </c>
      <c r="D4" s="10">
        <v>1.5</v>
      </c>
      <c r="E4" s="13">
        <f>1200*F4*H4^2/C4/2/32.17*N4/100</f>
        <v>2.652025144176814</v>
      </c>
      <c r="F4" s="13">
        <f>LOG((0.00015*12/C4/3.7)+5.74/G4^0.9)^-2*0.25</f>
        <v>0.02070616162945493</v>
      </c>
      <c r="G4" s="16">
        <f>7745.8*H4*C4/1</f>
        <v>105471.97666666665</v>
      </c>
      <c r="H4" s="12">
        <f>0.4085*A4/C4^2</f>
        <v>4.538888888888888</v>
      </c>
      <c r="I4" s="12">
        <f>(64.34*(B4-E4))^0.5</f>
        <v>21.743244979157637</v>
      </c>
      <c r="J4" s="12">
        <f>0.4085*A4/D4^2</f>
        <v>18.15555555555555</v>
      </c>
      <c r="K4" s="13">
        <f>0.000002929*A4*J4^2</f>
        <v>0.09654692745679005</v>
      </c>
      <c r="L4" s="13">
        <f>0.9*0.5*K4</f>
        <v>0.04344611735555553</v>
      </c>
      <c r="M4" s="14">
        <f>L4*0.07*24*30</f>
        <v>2.1896843147199987</v>
      </c>
      <c r="N4" s="15">
        <v>100</v>
      </c>
      <c r="O4" s="16">
        <f>0.5*229.2*J4/P4</f>
        <v>520.1566666666665</v>
      </c>
      <c r="P4" s="10">
        <v>4</v>
      </c>
    </row>
    <row r="5" spans="1:16" ht="12.75">
      <c r="A5" s="10">
        <v>114</v>
      </c>
      <c r="B5" s="10">
        <v>10</v>
      </c>
      <c r="C5" s="11">
        <v>3</v>
      </c>
      <c r="D5" s="10">
        <v>1.5</v>
      </c>
      <c r="E5" s="13">
        <f>1200*F5*H5^2/C5/2/32.17*N5/100</f>
        <v>3.3961837229580105</v>
      </c>
      <c r="F5" s="13">
        <f>LOG((0.00015*12/C5/3.7)+5.74/G5^0.9)^-2*0.25</f>
        <v>0.020403441910664268</v>
      </c>
      <c r="G5" s="16">
        <f>7745.8*H5*C5/1</f>
        <v>120238.05339999999</v>
      </c>
      <c r="H5" s="12">
        <f>0.4085*A5/C5^2</f>
        <v>5.174333333333333</v>
      </c>
      <c r="I5" s="12">
        <f>(64.34*(B5-E5))^0.5</f>
        <v>20.61284888764485</v>
      </c>
      <c r="J5" s="12">
        <f>0.4085*A5/D5^2</f>
        <v>20.697333333333333</v>
      </c>
      <c r="K5" s="13">
        <f>0.000002929*A5*J5^2</f>
        <v>0.14303852109204265</v>
      </c>
      <c r="L5" s="13">
        <f>0.9*0.5*K5</f>
        <v>0.0643673344914192</v>
      </c>
      <c r="M5" s="14">
        <f>L5*0.07*24*30</f>
        <v>3.244113658367528</v>
      </c>
      <c r="N5" s="15">
        <v>100</v>
      </c>
      <c r="O5" s="16">
        <f>0.5*229.2*J5/P5</f>
        <v>592.9785999999999</v>
      </c>
      <c r="P5" s="10">
        <v>4</v>
      </c>
    </row>
    <row r="6" spans="3:15" ht="12.75">
      <c r="C6" s="8"/>
      <c r="F6" s="3"/>
      <c r="G6" s="5"/>
      <c r="H6" s="1"/>
      <c r="I6" s="1"/>
      <c r="J6" s="1"/>
      <c r="K6" s="3"/>
      <c r="L6" s="3"/>
      <c r="M6" s="2"/>
      <c r="N6" s="7"/>
      <c r="O6" s="5"/>
    </row>
    <row r="7" spans="3:15" ht="12.75">
      <c r="C7" s="8"/>
      <c r="F7" s="3"/>
      <c r="G7" s="5"/>
      <c r="H7" s="1"/>
      <c r="I7" s="1"/>
      <c r="J7" s="1"/>
      <c r="K7" s="3"/>
      <c r="L7" s="3"/>
      <c r="M7" s="2"/>
      <c r="N7" s="7"/>
      <c r="O7" s="5"/>
    </row>
    <row r="8" spans="3:15" ht="12.75">
      <c r="C8" s="8"/>
      <c r="F8" s="3"/>
      <c r="G8" s="5"/>
      <c r="H8" s="1"/>
      <c r="I8" s="1"/>
      <c r="J8" s="1"/>
      <c r="K8" s="3"/>
      <c r="L8" s="3"/>
      <c r="M8" s="2"/>
      <c r="N8" s="7"/>
      <c r="O8" s="5"/>
    </row>
    <row r="9" spans="3:15" ht="12.75">
      <c r="C9" s="8"/>
      <c r="F9" s="3"/>
      <c r="G9" s="5"/>
      <c r="H9" s="1"/>
      <c r="I9" s="1"/>
      <c r="J9" s="1"/>
      <c r="K9" s="3"/>
      <c r="L9" s="3"/>
      <c r="M9" s="2"/>
      <c r="N9" s="7"/>
      <c r="O9" s="5"/>
    </row>
    <row r="10" spans="3:15" ht="12.75">
      <c r="C10" s="8"/>
      <c r="F10" s="3"/>
      <c r="G10" s="5"/>
      <c r="H10" s="1"/>
      <c r="I10" s="1"/>
      <c r="J10" s="1"/>
      <c r="K10" s="3"/>
      <c r="L10" s="3"/>
      <c r="M10" s="2"/>
      <c r="N10" s="7"/>
      <c r="O10" s="5"/>
    </row>
    <row r="11" spans="3:15" ht="12.75">
      <c r="C11" s="8"/>
      <c r="F11" s="3"/>
      <c r="G11" s="5"/>
      <c r="H11" s="1"/>
      <c r="I11" s="1"/>
      <c r="J11" s="1"/>
      <c r="K11" s="3"/>
      <c r="L11" s="3"/>
      <c r="M11" s="2"/>
      <c r="N11" s="7"/>
      <c r="O11" s="5"/>
    </row>
    <row r="12" spans="3:15" ht="12.75">
      <c r="C12" s="8"/>
      <c r="F12" s="3"/>
      <c r="G12" s="5"/>
      <c r="H12" s="1"/>
      <c r="I12" s="1"/>
      <c r="J12" s="1"/>
      <c r="K12" s="3"/>
      <c r="L12" s="3"/>
      <c r="M12" s="2"/>
      <c r="N12" s="7"/>
      <c r="O12" s="5"/>
    </row>
    <row r="13" spans="3:15" ht="12.75">
      <c r="C13" s="8"/>
      <c r="F13" s="3"/>
      <c r="G13" s="5"/>
      <c r="H13" s="1"/>
      <c r="I13" s="1"/>
      <c r="J13" s="1"/>
      <c r="K13" s="3"/>
      <c r="L13" s="3"/>
      <c r="M13" s="2"/>
      <c r="N13" s="7"/>
      <c r="O13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75" zoomScaleNormal="75" workbookViewId="0" topLeftCell="A4">
      <selection activeCell="AF36" sqref="AF36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3" width="7.421875" style="40" customWidth="1"/>
    <col min="4" max="4" width="7.57421875" style="5" customWidth="1"/>
    <col min="5" max="5" width="8.140625" style="7" customWidth="1"/>
    <col min="6" max="6" width="8.421875" style="1" customWidth="1"/>
    <col min="7" max="7" width="1.8515625" style="1" customWidth="1"/>
    <col min="8" max="8" width="3.140625" style="1" customWidth="1"/>
    <col min="9" max="9" width="12.8515625" style="1" customWidth="1"/>
    <col min="10" max="11" width="14.8515625" style="1" customWidth="1"/>
    <col min="12" max="12" width="11.7109375" style="5" customWidth="1"/>
    <col min="13" max="13" width="12.7109375" style="5" customWidth="1"/>
    <col min="14" max="14" width="13.00390625" style="2" customWidth="1"/>
    <col min="15" max="15" width="10.7109375" style="7" customWidth="1"/>
    <col min="16" max="16" width="12.00390625" style="5" customWidth="1"/>
  </cols>
  <sheetData>
    <row r="1" spans="1:17" ht="12.75">
      <c r="A1" s="9" t="s">
        <v>27</v>
      </c>
      <c r="B1" s="10"/>
      <c r="C1" s="38"/>
      <c r="D1" s="16"/>
      <c r="E1" s="15"/>
      <c r="F1" s="12"/>
      <c r="G1" s="12"/>
      <c r="H1" s="12"/>
      <c r="I1" s="12"/>
      <c r="J1" s="12"/>
      <c r="K1" s="12"/>
      <c r="L1" s="16"/>
      <c r="M1" s="16"/>
      <c r="N1" s="14"/>
      <c r="O1" s="15"/>
      <c r="P1" s="16"/>
      <c r="Q1" s="10"/>
    </row>
    <row r="2" spans="1:17" ht="38.25">
      <c r="A2" s="9" t="s">
        <v>0</v>
      </c>
      <c r="B2" s="17" t="s">
        <v>18</v>
      </c>
      <c r="C2" s="24" t="s">
        <v>14</v>
      </c>
      <c r="D2" s="24" t="s">
        <v>15</v>
      </c>
      <c r="E2" s="17" t="s">
        <v>13</v>
      </c>
      <c r="F2" s="9" t="s">
        <v>12</v>
      </c>
      <c r="G2" s="19" t="s">
        <v>1</v>
      </c>
      <c r="H2" s="20" t="s">
        <v>2</v>
      </c>
      <c r="I2" s="18" t="s">
        <v>11</v>
      </c>
      <c r="J2" s="17" t="s">
        <v>10</v>
      </c>
      <c r="K2" s="18" t="s">
        <v>9</v>
      </c>
      <c r="L2" s="24" t="s">
        <v>38</v>
      </c>
      <c r="M2" s="24" t="s">
        <v>40</v>
      </c>
      <c r="N2" s="22" t="s">
        <v>7</v>
      </c>
      <c r="O2" s="18" t="s">
        <v>8</v>
      </c>
      <c r="P2" s="20" t="s">
        <v>3</v>
      </c>
      <c r="Q2" s="9" t="s">
        <v>4</v>
      </c>
    </row>
    <row r="3" spans="1:17" ht="12.75">
      <c r="A3" s="10">
        <v>61</v>
      </c>
      <c r="B3" s="10">
        <v>10</v>
      </c>
      <c r="C3" s="38">
        <v>2</v>
      </c>
      <c r="D3" s="16">
        <v>1</v>
      </c>
      <c r="E3" s="15">
        <v>1.5</v>
      </c>
      <c r="F3" s="13">
        <f>1200*G3*I3^2/C3/2/32.17*O3/100</f>
        <v>7.986208249312403</v>
      </c>
      <c r="G3" s="13">
        <f>LOG((0.00015*12/C3/3.7)+5.74/H3^0.9)^-2*0.25</f>
        <v>0.02206716934353</v>
      </c>
      <c r="H3" s="16">
        <f>7745.8*I3*C3/1</f>
        <v>96506.85865</v>
      </c>
      <c r="I3" s="12">
        <f>0.4085*A3/C3^2</f>
        <v>6.2296249999999995</v>
      </c>
      <c r="J3" s="12">
        <f>(64.34*(B3-F3))^0.5</f>
        <v>11.382765974895557</v>
      </c>
      <c r="K3" s="12">
        <f>0.4085*A3/E3^2</f>
        <v>11.074888888888887</v>
      </c>
      <c r="L3" s="16">
        <f>0.000002929*A3*K3^2*1000</f>
        <v>21.91431814106967</v>
      </c>
      <c r="M3" s="16">
        <f>0.9*0.5*L3</f>
        <v>9.861443163481352</v>
      </c>
      <c r="N3" s="14">
        <f>M3*0.07*24*30/1000</f>
        <v>0.4970167354394603</v>
      </c>
      <c r="O3" s="15">
        <v>100</v>
      </c>
      <c r="P3" s="16">
        <f>0.5*229.2*K3/Q3</f>
        <v>317.2955666666666</v>
      </c>
      <c r="Q3" s="10">
        <v>4</v>
      </c>
    </row>
    <row r="4" spans="1:17" ht="12.75">
      <c r="A4" s="10">
        <v>88</v>
      </c>
      <c r="B4" s="10">
        <v>20</v>
      </c>
      <c r="C4" s="38">
        <v>2</v>
      </c>
      <c r="D4" s="16">
        <v>1</v>
      </c>
      <c r="E4" s="15">
        <v>1.5</v>
      </c>
      <c r="F4" s="13">
        <f>1200*G4*I4^2/C4/2/32.17*O4/100</f>
        <v>16.07506100841009</v>
      </c>
      <c r="G4" s="13">
        <f>LOG((0.00015*12/C4/3.7)+5.74/H4^0.9)^-2*0.25</f>
        <v>0.02134287656343473</v>
      </c>
      <c r="H4" s="16">
        <f>7745.8*I4*C4/1</f>
        <v>139223.0092</v>
      </c>
      <c r="I4" s="12">
        <f>0.4085*A4/C4^2</f>
        <v>8.987</v>
      </c>
      <c r="J4" s="12">
        <f>(64.34*(B4-F4))^0.5</f>
        <v>15.891210612124393</v>
      </c>
      <c r="K4" s="12">
        <f>0.4085*A4/E4^2</f>
        <v>15.976888888888888</v>
      </c>
      <c r="L4" s="16">
        <f>0.000002929*A4*K4^2*1000</f>
        <v>65.79402774783368</v>
      </c>
      <c r="M4" s="16">
        <f>0.9*0.5*L4</f>
        <v>29.607312486525156</v>
      </c>
      <c r="N4" s="14">
        <f>M4*0.07*24*30/1000</f>
        <v>1.4922085493208679</v>
      </c>
      <c r="O4" s="15">
        <v>100</v>
      </c>
      <c r="P4" s="16">
        <f>0.5*229.2*K4/Q4</f>
        <v>457.7378666666666</v>
      </c>
      <c r="Q4" s="10">
        <v>4</v>
      </c>
    </row>
    <row r="5" spans="1:17" ht="12.75">
      <c r="A5" s="10">
        <v>108</v>
      </c>
      <c r="B5" s="10">
        <v>30</v>
      </c>
      <c r="C5" s="38">
        <v>2</v>
      </c>
      <c r="D5" s="16">
        <v>1</v>
      </c>
      <c r="E5" s="15">
        <v>1.5</v>
      </c>
      <c r="F5" s="13">
        <f>1200*G5*I5^2/C5/2/32.17*O5/100</f>
        <v>23.83638732549143</v>
      </c>
      <c r="G5" s="13">
        <f>LOG((0.00015*12/C5/3.7)+5.74/H5^0.9)^-2*0.25</f>
        <v>0.02101157413718544</v>
      </c>
      <c r="H5" s="16">
        <f>7745.8*I5*C5/1</f>
        <v>170864.6022</v>
      </c>
      <c r="I5" s="12">
        <f>0.4085*A5/C5^2</f>
        <v>11.029499999999999</v>
      </c>
      <c r="J5" s="12">
        <f>(64.34*(B5-F5))^0.5</f>
        <v>19.913986026857643</v>
      </c>
      <c r="K5" s="12">
        <f>0.4085*A5/E5^2</f>
        <v>19.607999999999997</v>
      </c>
      <c r="L5" s="16">
        <f>0.000002929*A5*K5^2*1000</f>
        <v>121.62132308044795</v>
      </c>
      <c r="M5" s="16">
        <f>0.9*0.5*L5</f>
        <v>54.72959538620158</v>
      </c>
      <c r="N5" s="14">
        <f>M5*0.07*24*30/1000</f>
        <v>2.7583716074645603</v>
      </c>
      <c r="O5" s="15">
        <v>100</v>
      </c>
      <c r="P5" s="16">
        <f>0.5*229.2*K5/Q5</f>
        <v>561.7691999999998</v>
      </c>
      <c r="Q5" s="10">
        <v>4</v>
      </c>
    </row>
    <row r="6" spans="1:17" ht="12.75">
      <c r="A6" s="10">
        <v>125</v>
      </c>
      <c r="B6" s="10">
        <v>40</v>
      </c>
      <c r="C6" s="38">
        <v>2</v>
      </c>
      <c r="D6" s="16">
        <v>1</v>
      </c>
      <c r="E6" s="15">
        <v>1.5</v>
      </c>
      <c r="F6" s="13">
        <f>1200*G6*I6^2/C6/2/32.17*O6/100</f>
        <v>31.614503992018605</v>
      </c>
      <c r="G6" s="13">
        <f>LOG((0.00015*12/C6/3.7)+5.74/H6^0.9)^-2*0.25</f>
        <v>0.02080328953566568</v>
      </c>
      <c r="H6" s="16">
        <f>7745.8*I6*C6/1</f>
        <v>197759.95625000002</v>
      </c>
      <c r="I6" s="12">
        <f>0.4085*A6/C6^2</f>
        <v>12.765625</v>
      </c>
      <c r="J6" s="12">
        <f>(64.34*(B6-F6))^0.5</f>
        <v>23.227630381800097</v>
      </c>
      <c r="K6" s="12">
        <f>0.4085*A6/E6^2</f>
        <v>22.694444444444443</v>
      </c>
      <c r="L6" s="16">
        <f>0.000002929*A6*K6^2*1000</f>
        <v>188.5682176890432</v>
      </c>
      <c r="M6" s="16">
        <f>0.9*0.5*L6</f>
        <v>84.85569796006943</v>
      </c>
      <c r="N6" s="14">
        <f>M6*0.07*24*30/1000</f>
        <v>4.2767271771875</v>
      </c>
      <c r="O6" s="15">
        <v>100</v>
      </c>
      <c r="P6" s="16">
        <f>0.5*229.2*K6/Q6</f>
        <v>650.1958333333332</v>
      </c>
      <c r="Q6" s="10">
        <v>4</v>
      </c>
    </row>
    <row r="7" spans="1:17" ht="12.75">
      <c r="A7" s="10">
        <v>140</v>
      </c>
      <c r="B7" s="10">
        <v>50</v>
      </c>
      <c r="C7" s="38">
        <v>2</v>
      </c>
      <c r="D7" s="16">
        <v>1</v>
      </c>
      <c r="E7" s="15">
        <v>1.5</v>
      </c>
      <c r="F7" s="13">
        <f>1200*G7*I7^2/C7/2/32.17*O7/100</f>
        <v>39.377548136345276</v>
      </c>
      <c r="G7" s="13">
        <f>LOG((0.00015*12/C7/3.7)+5.74/H7^0.9)^-2*0.25</f>
        <v>0.020656572746842936</v>
      </c>
      <c r="H7" s="16">
        <f>7745.8*I7*C7/1</f>
        <v>221491.15099999998</v>
      </c>
      <c r="I7" s="12">
        <f>0.4085*A7/C7^2</f>
        <v>14.2975</v>
      </c>
      <c r="J7" s="12">
        <f>(64.34*(B7-F7))^0.5</f>
        <v>26.14284898222734</v>
      </c>
      <c r="K7" s="12">
        <f>0.4085*A7/E7^2</f>
        <v>25.417777777777776</v>
      </c>
      <c r="L7" s="16">
        <f>0.000002929*A7*K7^2*1000</f>
        <v>264.92476894143203</v>
      </c>
      <c r="M7" s="16">
        <f>0.9*0.5*L7</f>
        <v>119.21614602364441</v>
      </c>
      <c r="N7" s="14">
        <f>M7*0.07*24*30/1000</f>
        <v>6.008493759591678</v>
      </c>
      <c r="O7" s="15">
        <v>100</v>
      </c>
      <c r="P7" s="16">
        <f>0.5*229.2*K7/Q7</f>
        <v>728.2193333333332</v>
      </c>
      <c r="Q7" s="10">
        <v>4</v>
      </c>
    </row>
    <row r="8" spans="1:17" ht="12.75">
      <c r="A8" s="10"/>
      <c r="B8" s="10"/>
      <c r="C8" s="38"/>
      <c r="D8" s="16"/>
      <c r="E8" s="15"/>
      <c r="F8" s="10"/>
      <c r="G8" s="13"/>
      <c r="H8" s="16"/>
      <c r="I8" s="12"/>
      <c r="J8" s="12"/>
      <c r="K8" s="12"/>
      <c r="L8" s="16"/>
      <c r="M8" s="16"/>
      <c r="N8" s="14"/>
      <c r="O8" s="15"/>
      <c r="P8" s="16"/>
      <c r="Q8" s="10"/>
    </row>
    <row r="9" spans="1:17" ht="12.75">
      <c r="A9" s="9" t="s">
        <v>28</v>
      </c>
      <c r="B9" s="10"/>
      <c r="C9" s="38"/>
      <c r="D9" s="16"/>
      <c r="E9" s="15"/>
      <c r="F9" s="12"/>
      <c r="G9" s="12"/>
      <c r="H9" s="12"/>
      <c r="I9" s="12"/>
      <c r="J9" s="12"/>
      <c r="K9" s="12"/>
      <c r="L9" s="16"/>
      <c r="M9" s="16"/>
      <c r="N9" s="14"/>
      <c r="O9" s="15"/>
      <c r="P9" s="16"/>
      <c r="Q9" s="10"/>
    </row>
    <row r="10" spans="1:17" ht="38.25">
      <c r="A10" s="9" t="s">
        <v>0</v>
      </c>
      <c r="B10" s="17" t="s">
        <v>18</v>
      </c>
      <c r="C10" s="24" t="s">
        <v>14</v>
      </c>
      <c r="D10" s="24" t="s">
        <v>15</v>
      </c>
      <c r="E10" s="17" t="s">
        <v>13</v>
      </c>
      <c r="F10" s="9" t="s">
        <v>12</v>
      </c>
      <c r="G10" s="19" t="s">
        <v>1</v>
      </c>
      <c r="H10" s="20" t="s">
        <v>2</v>
      </c>
      <c r="I10" s="18" t="s">
        <v>11</v>
      </c>
      <c r="J10" s="17" t="s">
        <v>10</v>
      </c>
      <c r="K10" s="18" t="s">
        <v>9</v>
      </c>
      <c r="L10" s="24" t="s">
        <v>5</v>
      </c>
      <c r="M10" s="24" t="s">
        <v>6</v>
      </c>
      <c r="N10" s="22" t="s">
        <v>7</v>
      </c>
      <c r="O10" s="18" t="s">
        <v>8</v>
      </c>
      <c r="P10" s="20" t="s">
        <v>3</v>
      </c>
      <c r="Q10" s="9" t="s">
        <v>4</v>
      </c>
    </row>
    <row r="11" spans="1:17" ht="12.75">
      <c r="A11" s="10">
        <v>114</v>
      </c>
      <c r="B11" s="10">
        <v>10</v>
      </c>
      <c r="C11" s="38">
        <v>3</v>
      </c>
      <c r="D11" s="16">
        <v>1</v>
      </c>
      <c r="E11" s="15">
        <v>1.5</v>
      </c>
      <c r="F11" s="13">
        <f aca="true" t="shared" si="0" ref="F11:F17">1200*G11*I11^2/C11/2/32.17*O11/100</f>
        <v>3.3961837229580105</v>
      </c>
      <c r="G11" s="13">
        <f aca="true" t="shared" si="1" ref="G11:G17">LOG((0.00015*12/C11/3.7)+5.74/H11^0.9)^-2*0.25</f>
        <v>0.020403441910664268</v>
      </c>
      <c r="H11" s="16">
        <f aca="true" t="shared" si="2" ref="H11:H17">7745.8*I11*C11/1</f>
        <v>120238.05339999999</v>
      </c>
      <c r="I11" s="12">
        <f aca="true" t="shared" si="3" ref="I11:I17">0.4085*A11/C11^2</f>
        <v>5.174333333333333</v>
      </c>
      <c r="J11" s="12">
        <f aca="true" t="shared" si="4" ref="J11:J17">(64.34*(B11-F11))^0.5</f>
        <v>20.61284888764485</v>
      </c>
      <c r="K11" s="12">
        <f aca="true" t="shared" si="5" ref="K11:K17">0.4085*A11/E11^2</f>
        <v>20.697333333333333</v>
      </c>
      <c r="L11" s="16">
        <f aca="true" t="shared" si="6" ref="L11:L17">0.000002929*A11*K11^2*1000</f>
        <v>143.03852109204266</v>
      </c>
      <c r="M11" s="16">
        <f aca="true" t="shared" si="7" ref="M11:M17">0.9*0.5*L11</f>
        <v>64.3673344914192</v>
      </c>
      <c r="N11" s="14">
        <f aca="true" t="shared" si="8" ref="N11:N17">M11*0.07*24*30/1000</f>
        <v>3.2441136583675276</v>
      </c>
      <c r="O11" s="15">
        <v>100</v>
      </c>
      <c r="P11" s="16">
        <f aca="true" t="shared" si="9" ref="P11:P17">0.5*229.2*K11/Q11</f>
        <v>592.9785999999999</v>
      </c>
      <c r="Q11" s="10">
        <v>4</v>
      </c>
    </row>
    <row r="12" spans="1:17" ht="12.75">
      <c r="A12" s="10">
        <v>162</v>
      </c>
      <c r="B12" s="10">
        <v>20</v>
      </c>
      <c r="C12" s="38">
        <v>3</v>
      </c>
      <c r="D12" s="16">
        <v>1</v>
      </c>
      <c r="E12" s="15">
        <v>1.5</v>
      </c>
      <c r="F12" s="13">
        <f t="shared" si="0"/>
        <v>6.623578156457452</v>
      </c>
      <c r="G12" s="13">
        <f t="shared" si="1"/>
        <v>0.01970537021225395</v>
      </c>
      <c r="H12" s="16">
        <f t="shared" si="2"/>
        <v>170864.6022</v>
      </c>
      <c r="I12" s="12">
        <f t="shared" si="3"/>
        <v>7.352999999999999</v>
      </c>
      <c r="J12" s="12">
        <f t="shared" si="4"/>
        <v>29.336649116992344</v>
      </c>
      <c r="K12" s="12">
        <f t="shared" si="5"/>
        <v>29.411999999999995</v>
      </c>
      <c r="L12" s="16">
        <f t="shared" si="6"/>
        <v>410.47196539651185</v>
      </c>
      <c r="M12" s="16">
        <f t="shared" si="7"/>
        <v>184.71238442843034</v>
      </c>
      <c r="N12" s="14">
        <f t="shared" si="8"/>
        <v>9.30950417519289</v>
      </c>
      <c r="O12" s="15">
        <v>100</v>
      </c>
      <c r="P12" s="16">
        <f t="shared" si="9"/>
        <v>842.6537999999998</v>
      </c>
      <c r="Q12" s="10">
        <v>4</v>
      </c>
    </row>
    <row r="13" spans="1:17" ht="12.75">
      <c r="A13" s="10">
        <v>195</v>
      </c>
      <c r="B13" s="10">
        <v>30</v>
      </c>
      <c r="C13" s="38">
        <v>3</v>
      </c>
      <c r="D13" s="16">
        <v>1</v>
      </c>
      <c r="E13" s="15">
        <v>1.5</v>
      </c>
      <c r="F13" s="13">
        <f t="shared" si="0"/>
        <v>9.446892041754577</v>
      </c>
      <c r="G13" s="13">
        <f t="shared" si="1"/>
        <v>0.0193973182802034</v>
      </c>
      <c r="H13" s="16">
        <f t="shared" si="2"/>
        <v>205670.35450000002</v>
      </c>
      <c r="I13" s="12">
        <f t="shared" si="3"/>
        <v>8.850833333333334</v>
      </c>
      <c r="J13" s="12">
        <f t="shared" si="4"/>
        <v>36.36463895095771</v>
      </c>
      <c r="K13" s="12">
        <f t="shared" si="5"/>
        <v>35.403333333333336</v>
      </c>
      <c r="L13" s="16">
        <f t="shared" si="6"/>
        <v>715.8833987261667</v>
      </c>
      <c r="M13" s="16">
        <f t="shared" si="7"/>
        <v>322.147529426775</v>
      </c>
      <c r="N13" s="14">
        <f t="shared" si="8"/>
        <v>16.236235483109464</v>
      </c>
      <c r="O13" s="15">
        <v>100</v>
      </c>
      <c r="P13" s="16">
        <f t="shared" si="9"/>
        <v>1014.3055</v>
      </c>
      <c r="Q13" s="10">
        <v>4</v>
      </c>
    </row>
    <row r="14" spans="1:17" ht="12.75">
      <c r="A14" s="10">
        <v>230</v>
      </c>
      <c r="B14" s="10">
        <v>40</v>
      </c>
      <c r="C14" s="38">
        <v>3</v>
      </c>
      <c r="D14" s="16">
        <v>1</v>
      </c>
      <c r="E14" s="15">
        <v>1.5</v>
      </c>
      <c r="F14" s="13">
        <f t="shared" si="0"/>
        <v>12.977696224100091</v>
      </c>
      <c r="G14" s="13">
        <f t="shared" si="1"/>
        <v>0.019154194561805726</v>
      </c>
      <c r="H14" s="16">
        <f t="shared" si="2"/>
        <v>242585.54633333333</v>
      </c>
      <c r="I14" s="12">
        <f t="shared" si="3"/>
        <v>10.439444444444444</v>
      </c>
      <c r="J14" s="12">
        <f t="shared" si="4"/>
        <v>41.69670280659371</v>
      </c>
      <c r="K14" s="12">
        <f t="shared" si="5"/>
        <v>41.757777777777775</v>
      </c>
      <c r="L14" s="16">
        <f t="shared" si="6"/>
        <v>1174.6864663667652</v>
      </c>
      <c r="M14" s="16">
        <f t="shared" si="7"/>
        <v>528.6089098650443</v>
      </c>
      <c r="N14" s="14">
        <f t="shared" si="8"/>
        <v>26.641889057198238</v>
      </c>
      <c r="O14" s="15">
        <v>100</v>
      </c>
      <c r="P14" s="16">
        <f t="shared" si="9"/>
        <v>1196.3603333333333</v>
      </c>
      <c r="Q14" s="10">
        <v>4</v>
      </c>
    </row>
    <row r="15" spans="1:17" ht="12.75">
      <c r="A15" s="10">
        <v>260</v>
      </c>
      <c r="B15" s="10">
        <v>50</v>
      </c>
      <c r="C15" s="38">
        <v>3</v>
      </c>
      <c r="D15" s="16">
        <v>1</v>
      </c>
      <c r="E15" s="15">
        <v>1.5</v>
      </c>
      <c r="F15" s="13">
        <f t="shared" si="0"/>
        <v>16.442758914127438</v>
      </c>
      <c r="G15" s="13">
        <f t="shared" si="1"/>
        <v>0.018991092783944136</v>
      </c>
      <c r="H15" s="16">
        <f t="shared" si="2"/>
        <v>274227.1393333333</v>
      </c>
      <c r="I15" s="12">
        <f t="shared" si="3"/>
        <v>11.80111111111111</v>
      </c>
      <c r="J15" s="12">
        <f t="shared" si="4"/>
        <v>46.46582498422944</v>
      </c>
      <c r="K15" s="12">
        <f t="shared" si="5"/>
        <v>47.20444444444444</v>
      </c>
      <c r="L15" s="16">
        <f t="shared" si="6"/>
        <v>1696.908796980543</v>
      </c>
      <c r="M15" s="16">
        <f t="shared" si="7"/>
        <v>763.6089586412444</v>
      </c>
      <c r="N15" s="14">
        <f t="shared" si="8"/>
        <v>38.48589151551872</v>
      </c>
      <c r="O15" s="15">
        <v>100</v>
      </c>
      <c r="P15" s="16">
        <f t="shared" si="9"/>
        <v>1352.407333333333</v>
      </c>
      <c r="Q15" s="10">
        <v>4</v>
      </c>
    </row>
    <row r="16" spans="1:17" ht="12.75">
      <c r="A16" s="10">
        <v>340</v>
      </c>
      <c r="B16" s="10">
        <v>75</v>
      </c>
      <c r="C16" s="38">
        <v>3</v>
      </c>
      <c r="D16" s="16">
        <v>1</v>
      </c>
      <c r="E16" s="15">
        <v>1.5</v>
      </c>
      <c r="F16" s="13">
        <f t="shared" si="0"/>
        <v>27.658965806759895</v>
      </c>
      <c r="G16" s="13">
        <f t="shared" si="1"/>
        <v>0.018680997646050853</v>
      </c>
      <c r="H16" s="16">
        <f t="shared" si="2"/>
        <v>358604.72066666663</v>
      </c>
      <c r="I16" s="12">
        <f t="shared" si="3"/>
        <v>15.43222222222222</v>
      </c>
      <c r="J16" s="12">
        <f t="shared" si="4"/>
        <v>55.1898735276053</v>
      </c>
      <c r="K16" s="12">
        <f t="shared" si="5"/>
        <v>61.72888888888888</v>
      </c>
      <c r="L16" s="16">
        <f t="shared" si="6"/>
        <v>3794.6804367616774</v>
      </c>
      <c r="M16" s="16">
        <f t="shared" si="7"/>
        <v>1707.6061965427548</v>
      </c>
      <c r="N16" s="14">
        <f t="shared" si="8"/>
        <v>86.06335230575485</v>
      </c>
      <c r="O16" s="15">
        <v>100</v>
      </c>
      <c r="P16" s="16">
        <f t="shared" si="9"/>
        <v>1768.5326666666663</v>
      </c>
      <c r="Q16" s="10">
        <v>4</v>
      </c>
    </row>
    <row r="17" spans="1:17" ht="12.75">
      <c r="A17" s="10">
        <v>405</v>
      </c>
      <c r="B17" s="10">
        <v>100</v>
      </c>
      <c r="C17" s="38">
        <v>3</v>
      </c>
      <c r="D17" s="16">
        <v>1</v>
      </c>
      <c r="E17" s="15">
        <v>1.5</v>
      </c>
      <c r="F17" s="13">
        <f t="shared" si="0"/>
        <v>38.88549359829064</v>
      </c>
      <c r="G17" s="13">
        <f t="shared" si="1"/>
        <v>0.01850970648530238</v>
      </c>
      <c r="H17" s="16">
        <f t="shared" si="2"/>
        <v>427161.50549999997</v>
      </c>
      <c r="I17" s="12">
        <f t="shared" si="3"/>
        <v>18.3825</v>
      </c>
      <c r="J17" s="12">
        <f t="shared" si="4"/>
        <v>62.70651753913608</v>
      </c>
      <c r="K17" s="12">
        <f t="shared" si="5"/>
        <v>73.53</v>
      </c>
      <c r="L17" s="16">
        <f t="shared" si="6"/>
        <v>6413.624459320498</v>
      </c>
      <c r="M17" s="16">
        <f t="shared" si="7"/>
        <v>2886.131006694224</v>
      </c>
      <c r="N17" s="14">
        <f t="shared" si="8"/>
        <v>145.46100273738892</v>
      </c>
      <c r="O17" s="15">
        <v>100</v>
      </c>
      <c r="P17" s="16">
        <f t="shared" si="9"/>
        <v>2106.6345</v>
      </c>
      <c r="Q17" s="10">
        <v>4</v>
      </c>
    </row>
    <row r="18" spans="1:17" ht="12.75">
      <c r="A18" s="10"/>
      <c r="B18" s="10"/>
      <c r="C18" s="38"/>
      <c r="D18" s="16"/>
      <c r="E18" s="15"/>
      <c r="F18" s="10"/>
      <c r="G18" s="13"/>
      <c r="H18" s="16"/>
      <c r="I18" s="12"/>
      <c r="J18" s="12"/>
      <c r="K18" s="12"/>
      <c r="L18" s="16"/>
      <c r="M18" s="16"/>
      <c r="N18" s="14"/>
      <c r="O18" s="15"/>
      <c r="P18" s="16"/>
      <c r="Q18" s="10"/>
    </row>
    <row r="19" spans="1:17" ht="12.75">
      <c r="A19" s="9" t="s">
        <v>29</v>
      </c>
      <c r="B19" s="10"/>
      <c r="C19" s="38"/>
      <c r="D19" s="16"/>
      <c r="E19" s="15"/>
      <c r="F19" s="12"/>
      <c r="G19" s="12"/>
      <c r="H19" s="12"/>
      <c r="I19" s="12"/>
      <c r="J19" s="12"/>
      <c r="K19" s="12"/>
      <c r="L19" s="16"/>
      <c r="M19" s="16"/>
      <c r="N19" s="14"/>
      <c r="O19" s="15"/>
      <c r="P19" s="16"/>
      <c r="Q19" s="10"/>
    </row>
    <row r="20" spans="1:17" ht="38.25">
      <c r="A20" s="9" t="s">
        <v>0</v>
      </c>
      <c r="B20" s="17" t="s">
        <v>18</v>
      </c>
      <c r="C20" s="24" t="s">
        <v>14</v>
      </c>
      <c r="D20" s="24" t="s">
        <v>15</v>
      </c>
      <c r="E20" s="17" t="s">
        <v>13</v>
      </c>
      <c r="F20" s="9" t="s">
        <v>12</v>
      </c>
      <c r="G20" s="19" t="s">
        <v>1</v>
      </c>
      <c r="H20" s="20" t="s">
        <v>2</v>
      </c>
      <c r="I20" s="18" t="s">
        <v>11</v>
      </c>
      <c r="J20" s="17" t="s">
        <v>10</v>
      </c>
      <c r="K20" s="18" t="s">
        <v>9</v>
      </c>
      <c r="L20" s="24" t="s">
        <v>38</v>
      </c>
      <c r="M20" s="24" t="s">
        <v>6</v>
      </c>
      <c r="N20" s="22" t="s">
        <v>7</v>
      </c>
      <c r="O20" s="18" t="s">
        <v>8</v>
      </c>
      <c r="P20" s="20" t="s">
        <v>3</v>
      </c>
      <c r="Q20" s="9" t="s">
        <v>4</v>
      </c>
    </row>
    <row r="21" spans="1:17" ht="12.75">
      <c r="A21" s="10">
        <v>133</v>
      </c>
      <c r="B21" s="10">
        <v>10</v>
      </c>
      <c r="C21" s="38">
        <v>4</v>
      </c>
      <c r="D21" s="16">
        <v>1</v>
      </c>
      <c r="E21" s="15">
        <v>1.5</v>
      </c>
      <c r="F21" s="13">
        <f aca="true" t="shared" si="10" ref="F21:F27">1200*G21*I21^2/C21/2/32.17*O21/100</f>
        <v>1.0785613366530995</v>
      </c>
      <c r="G21" s="13">
        <f>LOG((0.00015*12/C21/3.7)+5.74/H21^0.9)^-2*0.25</f>
        <v>0.020061214036232896</v>
      </c>
      <c r="H21" s="16">
        <f>7745.8*I21*C21/1</f>
        <v>105208.296725</v>
      </c>
      <c r="I21" s="12">
        <f aca="true" t="shared" si="11" ref="I21:I27">0.4085*A21/C21^2</f>
        <v>3.3956562499999996</v>
      </c>
      <c r="J21" s="12">
        <f>(64.34*(B21-F21))^0.5</f>
        <v>23.958409037324238</v>
      </c>
      <c r="K21" s="12">
        <f>0.4085*A21/E21^2</f>
        <v>24.146888888888885</v>
      </c>
      <c r="L21" s="16">
        <f aca="true" t="shared" si="12" ref="L21:L27">0.000002929*A21*K21^2*1000</f>
        <v>227.13987377116024</v>
      </c>
      <c r="M21" s="16">
        <f aca="true" t="shared" si="13" ref="M21:M27">0.9*0.5*L21</f>
        <v>102.21294319702211</v>
      </c>
      <c r="N21" s="14">
        <f aca="true" t="shared" si="14" ref="N21:N27">M21*0.07*24*30/1000</f>
        <v>5.1515323371299155</v>
      </c>
      <c r="O21" s="15">
        <v>100</v>
      </c>
      <c r="P21" s="16">
        <f aca="true" t="shared" si="15" ref="P21:P27">0.5*229.2*K21/Q21</f>
        <v>691.8083666666665</v>
      </c>
      <c r="Q21" s="10">
        <v>4</v>
      </c>
    </row>
    <row r="22" spans="1:17" ht="12.75">
      <c r="A22" s="10">
        <v>185</v>
      </c>
      <c r="B22" s="10">
        <v>20</v>
      </c>
      <c r="C22" s="38">
        <v>4</v>
      </c>
      <c r="D22" s="16">
        <v>1</v>
      </c>
      <c r="E22" s="15">
        <v>1.5</v>
      </c>
      <c r="F22" s="13">
        <f t="shared" si="10"/>
        <v>2.0052228249736936</v>
      </c>
      <c r="G22" s="13">
        <f aca="true" t="shared" si="16" ref="G22:G27">LOG((0.00015*12/C22/3.7)+5.74/H22^0.9)^-2*0.25</f>
        <v>0.019276794964020915</v>
      </c>
      <c r="H22" s="16">
        <f aca="true" t="shared" si="17" ref="H22:H27">7745.8*I22*C22/1</f>
        <v>146342.36762499998</v>
      </c>
      <c r="I22" s="12">
        <f t="shared" si="11"/>
        <v>4.723281249999999</v>
      </c>
      <c r="J22" s="12">
        <f aca="true" t="shared" si="18" ref="J22:J27">(64.34*(B22-F22))^0.5</f>
        <v>34.02622464278388</v>
      </c>
      <c r="K22" s="12">
        <f aca="true" t="shared" si="19" ref="K22:K27">0.4085*A22/E22^2</f>
        <v>33.587777777777774</v>
      </c>
      <c r="L22" s="16">
        <f t="shared" si="12"/>
        <v>611.2989395585986</v>
      </c>
      <c r="M22" s="16">
        <f t="shared" si="13"/>
        <v>275.08452280136936</v>
      </c>
      <c r="N22" s="14">
        <f t="shared" si="14"/>
        <v>13.864259949189018</v>
      </c>
      <c r="O22" s="15">
        <v>100</v>
      </c>
      <c r="P22" s="16">
        <f t="shared" si="15"/>
        <v>962.2898333333331</v>
      </c>
      <c r="Q22" s="10">
        <v>4</v>
      </c>
    </row>
    <row r="23" spans="1:17" ht="12.75">
      <c r="A23" s="10">
        <v>235</v>
      </c>
      <c r="B23" s="10">
        <v>30</v>
      </c>
      <c r="C23" s="38">
        <v>4</v>
      </c>
      <c r="D23" s="16">
        <v>1</v>
      </c>
      <c r="E23" s="15">
        <v>1.5</v>
      </c>
      <c r="F23" s="13">
        <f t="shared" si="10"/>
        <v>3.155212664597521</v>
      </c>
      <c r="G23" s="13">
        <f t="shared" si="16"/>
        <v>0.018797866342809513</v>
      </c>
      <c r="H23" s="16">
        <f t="shared" si="17"/>
        <v>185894.35887499998</v>
      </c>
      <c r="I23" s="12">
        <f t="shared" si="11"/>
        <v>5.999843749999999</v>
      </c>
      <c r="J23" s="12">
        <f t="shared" si="18"/>
        <v>41.559518971708464</v>
      </c>
      <c r="K23" s="12">
        <f t="shared" si="19"/>
        <v>42.66555555555555</v>
      </c>
      <c r="L23" s="16">
        <f t="shared" si="12"/>
        <v>1252.9739561682898</v>
      </c>
      <c r="M23" s="16">
        <f t="shared" si="13"/>
        <v>563.8382802757304</v>
      </c>
      <c r="N23" s="14">
        <f t="shared" si="14"/>
        <v>28.41744932589682</v>
      </c>
      <c r="O23" s="15">
        <v>100</v>
      </c>
      <c r="P23" s="16">
        <f t="shared" si="15"/>
        <v>1222.3681666666664</v>
      </c>
      <c r="Q23" s="10">
        <v>4</v>
      </c>
    </row>
    <row r="24" spans="1:17" ht="12.75">
      <c r="A24" s="10">
        <v>265</v>
      </c>
      <c r="B24" s="10">
        <v>40</v>
      </c>
      <c r="C24" s="38">
        <v>4</v>
      </c>
      <c r="D24" s="16">
        <v>1</v>
      </c>
      <c r="E24" s="15">
        <v>1.5</v>
      </c>
      <c r="F24" s="13">
        <f t="shared" si="10"/>
        <v>3.966396111070402</v>
      </c>
      <c r="G24" s="13">
        <f t="shared" si="16"/>
        <v>0.018583177757401797</v>
      </c>
      <c r="H24" s="16">
        <f t="shared" si="17"/>
        <v>209625.553625</v>
      </c>
      <c r="I24" s="12">
        <f t="shared" si="11"/>
        <v>6.76578125</v>
      </c>
      <c r="J24" s="12">
        <f t="shared" si="18"/>
        <v>48.149787893756404</v>
      </c>
      <c r="K24" s="12">
        <f t="shared" si="19"/>
        <v>48.11222222222222</v>
      </c>
      <c r="L24" s="16">
        <f t="shared" si="12"/>
        <v>1796.702114873068</v>
      </c>
      <c r="M24" s="16">
        <f t="shared" si="13"/>
        <v>808.5159516928807</v>
      </c>
      <c r="N24" s="14">
        <f t="shared" si="14"/>
        <v>40.7492039653212</v>
      </c>
      <c r="O24" s="15">
        <v>100</v>
      </c>
      <c r="P24" s="16">
        <f t="shared" si="15"/>
        <v>1378.4151666666667</v>
      </c>
      <c r="Q24" s="10">
        <v>4</v>
      </c>
    </row>
    <row r="25" spans="1:17" ht="12.75">
      <c r="A25" s="10">
        <v>295</v>
      </c>
      <c r="B25" s="10">
        <v>50</v>
      </c>
      <c r="C25" s="38">
        <v>4</v>
      </c>
      <c r="D25" s="16">
        <v>1</v>
      </c>
      <c r="E25" s="15">
        <v>1.5</v>
      </c>
      <c r="F25" s="13">
        <f t="shared" si="10"/>
        <v>4.868192506239182</v>
      </c>
      <c r="G25" s="13">
        <f t="shared" si="16"/>
        <v>0.018405149818331856</v>
      </c>
      <c r="H25" s="16">
        <f t="shared" si="17"/>
        <v>233356.748375</v>
      </c>
      <c r="I25" s="12">
        <f t="shared" si="11"/>
        <v>7.53171875</v>
      </c>
      <c r="J25" s="12">
        <f t="shared" si="18"/>
        <v>53.886737646183136</v>
      </c>
      <c r="K25" s="12">
        <f t="shared" si="19"/>
        <v>53.55888888888889</v>
      </c>
      <c r="L25" s="16">
        <f t="shared" si="12"/>
        <v>2478.588926768512</v>
      </c>
      <c r="M25" s="16">
        <f t="shared" si="13"/>
        <v>1115.3650170458304</v>
      </c>
      <c r="N25" s="14">
        <f t="shared" si="14"/>
        <v>56.21439685910987</v>
      </c>
      <c r="O25" s="15">
        <v>100</v>
      </c>
      <c r="P25" s="16">
        <f t="shared" si="15"/>
        <v>1534.4621666666665</v>
      </c>
      <c r="Q25" s="10">
        <v>4</v>
      </c>
    </row>
    <row r="26" spans="1:17" ht="12.75">
      <c r="A26" s="10">
        <v>364</v>
      </c>
      <c r="B26" s="10">
        <v>75</v>
      </c>
      <c r="C26" s="38">
        <v>4</v>
      </c>
      <c r="D26" s="16">
        <v>1</v>
      </c>
      <c r="E26" s="15">
        <v>1.5</v>
      </c>
      <c r="F26" s="13">
        <f t="shared" si="10"/>
        <v>7.285345095405267</v>
      </c>
      <c r="G26" s="13">
        <f>LOG((0.00015*12/C26/3.7)+5.74/H26^0.9)^-2*0.25</f>
        <v>0.018091018034444708</v>
      </c>
      <c r="H26" s="16">
        <f>7745.8*I26*C26/1</f>
        <v>287938.4963</v>
      </c>
      <c r="I26" s="12">
        <f>0.4085*A26/C26^2</f>
        <v>9.293375</v>
      </c>
      <c r="J26" s="12">
        <f>(64.34*(B26-F26))^0.5</f>
        <v>66.00576411618628</v>
      </c>
      <c r="K26" s="12">
        <f>0.4085*A26/E26^2</f>
        <v>66.08622222222222</v>
      </c>
      <c r="L26" s="16">
        <f t="shared" si="12"/>
        <v>4656.31773891461</v>
      </c>
      <c r="M26" s="16">
        <f t="shared" si="13"/>
        <v>2095.3429825115745</v>
      </c>
      <c r="N26" s="14">
        <f t="shared" si="14"/>
        <v>105.60528631858337</v>
      </c>
      <c r="O26" s="15">
        <v>100</v>
      </c>
      <c r="P26" s="16">
        <f>0.5*229.2*K26/Q26</f>
        <v>1262.2468444444444</v>
      </c>
      <c r="Q26" s="10">
        <v>6</v>
      </c>
    </row>
    <row r="27" spans="1:17" ht="12.75">
      <c r="A27" s="10">
        <v>420</v>
      </c>
      <c r="B27" s="10">
        <v>100</v>
      </c>
      <c r="C27" s="38">
        <v>4</v>
      </c>
      <c r="D27" s="16">
        <v>1</v>
      </c>
      <c r="E27" s="15">
        <v>1.5</v>
      </c>
      <c r="F27" s="13">
        <f t="shared" si="10"/>
        <v>9.59784097523197</v>
      </c>
      <c r="G27" s="13">
        <f t="shared" si="16"/>
        <v>0.017901549121322656</v>
      </c>
      <c r="H27" s="16">
        <f t="shared" si="17"/>
        <v>332236.7265</v>
      </c>
      <c r="I27" s="12">
        <f t="shared" si="11"/>
        <v>10.723125</v>
      </c>
      <c r="J27" s="12">
        <f t="shared" si="18"/>
        <v>76.2658174522084</v>
      </c>
      <c r="K27" s="12">
        <f t="shared" si="19"/>
        <v>76.25333333333333</v>
      </c>
      <c r="L27" s="16">
        <f t="shared" si="12"/>
        <v>7152.968761418665</v>
      </c>
      <c r="M27" s="16">
        <f t="shared" si="13"/>
        <v>3218.8359426383995</v>
      </c>
      <c r="N27" s="14">
        <f t="shared" si="14"/>
        <v>162.22933150897535</v>
      </c>
      <c r="O27" s="15">
        <v>100</v>
      </c>
      <c r="P27" s="16">
        <f t="shared" si="15"/>
        <v>1456.4386666666667</v>
      </c>
      <c r="Q27" s="10">
        <v>6</v>
      </c>
    </row>
    <row r="28" spans="1:17" ht="12.75">
      <c r="A28" s="10"/>
      <c r="B28" s="10"/>
      <c r="C28" s="38"/>
      <c r="D28" s="16"/>
      <c r="E28" s="15"/>
      <c r="F28" s="12"/>
      <c r="G28" s="12"/>
      <c r="H28" s="12"/>
      <c r="I28" s="12"/>
      <c r="J28" s="12"/>
      <c r="K28" s="12"/>
      <c r="L28" s="16"/>
      <c r="M28" s="16"/>
      <c r="N28" s="14"/>
      <c r="O28" s="15"/>
      <c r="P28" s="16"/>
      <c r="Q28" s="10"/>
    </row>
    <row r="29" spans="1:17" ht="12.75">
      <c r="A29" s="10"/>
      <c r="B29" s="10"/>
      <c r="C29" s="38"/>
      <c r="D29" s="16"/>
      <c r="E29" s="15"/>
      <c r="F29" s="12"/>
      <c r="G29" s="12"/>
      <c r="H29" s="12"/>
      <c r="I29" s="12"/>
      <c r="J29" s="12"/>
      <c r="K29" s="12"/>
      <c r="L29" s="16"/>
      <c r="M29" s="16"/>
      <c r="N29" s="14"/>
      <c r="O29" s="15"/>
      <c r="P29" s="16"/>
      <c r="Q29" s="10"/>
    </row>
    <row r="30" spans="1:17" ht="12.75">
      <c r="A30" s="10"/>
      <c r="B30" s="10"/>
      <c r="C30" s="38"/>
      <c r="D30" s="16"/>
      <c r="E30" s="15"/>
      <c r="F30" s="12"/>
      <c r="G30" s="12"/>
      <c r="H30" s="12"/>
      <c r="I30" s="12"/>
      <c r="J30" s="12"/>
      <c r="K30" s="12"/>
      <c r="L30" s="16"/>
      <c r="M30" s="16"/>
      <c r="N30" s="14"/>
      <c r="O30" s="15"/>
      <c r="P30" s="16"/>
      <c r="Q30" s="10"/>
    </row>
    <row r="31" spans="1:17" ht="12.75">
      <c r="A31" s="9" t="s">
        <v>30</v>
      </c>
      <c r="B31" s="10"/>
      <c r="C31" s="38"/>
      <c r="D31" s="16"/>
      <c r="E31" s="15"/>
      <c r="F31" s="12"/>
      <c r="G31" s="12"/>
      <c r="H31" s="12"/>
      <c r="I31" s="12"/>
      <c r="J31" s="12"/>
      <c r="K31" s="12"/>
      <c r="L31" s="16"/>
      <c r="M31" s="16"/>
      <c r="N31" s="14"/>
      <c r="O31" s="15"/>
      <c r="P31" s="16"/>
      <c r="Q31" s="10"/>
    </row>
    <row r="32" spans="1:17" ht="38.25">
      <c r="A32" s="9" t="s">
        <v>0</v>
      </c>
      <c r="B32" s="17" t="s">
        <v>18</v>
      </c>
      <c r="C32" s="24" t="s">
        <v>14</v>
      </c>
      <c r="D32" s="24" t="s">
        <v>15</v>
      </c>
      <c r="E32" s="17" t="s">
        <v>13</v>
      </c>
      <c r="F32" s="9" t="s">
        <v>12</v>
      </c>
      <c r="G32" s="19" t="s">
        <v>1</v>
      </c>
      <c r="H32" s="20" t="s">
        <v>2</v>
      </c>
      <c r="I32" s="18" t="s">
        <v>11</v>
      </c>
      <c r="J32" s="17" t="s">
        <v>10</v>
      </c>
      <c r="K32" s="18" t="s">
        <v>9</v>
      </c>
      <c r="L32" s="24" t="s">
        <v>5</v>
      </c>
      <c r="M32" s="24" t="s">
        <v>6</v>
      </c>
      <c r="N32" s="22" t="s">
        <v>7</v>
      </c>
      <c r="O32" s="18" t="s">
        <v>8</v>
      </c>
      <c r="P32" s="20" t="s">
        <v>3</v>
      </c>
      <c r="Q32" s="9" t="s">
        <v>4</v>
      </c>
    </row>
    <row r="33" spans="1:17" ht="12.75">
      <c r="A33" s="10">
        <v>140</v>
      </c>
      <c r="B33" s="10">
        <v>10</v>
      </c>
      <c r="C33" s="38">
        <v>6</v>
      </c>
      <c r="D33" s="16">
        <v>1</v>
      </c>
      <c r="E33" s="15">
        <v>1.5</v>
      </c>
      <c r="F33" s="13">
        <f aca="true" t="shared" si="20" ref="F33:F39">1200*G33*I33^2/C33/2/32.17*O33/100</f>
        <v>0.16051952857108634</v>
      </c>
      <c r="G33" s="13">
        <f aca="true" t="shared" si="21" ref="G33:G39">LOG((0.00015*12/C33/3.7)+5.74/H33^0.9)^-2*0.25</f>
        <v>0.02046179573649437</v>
      </c>
      <c r="H33" s="16">
        <f aca="true" t="shared" si="22" ref="H33:H39">7745.8*I33*C33/1</f>
        <v>73830.38366666666</v>
      </c>
      <c r="I33" s="12">
        <f aca="true" t="shared" si="23" ref="I33:I39">0.4085*A33/C33^2</f>
        <v>1.588611111111111</v>
      </c>
      <c r="J33" s="12">
        <f aca="true" t="shared" si="24" ref="J33:J39">(64.34*(B33-F33))^0.5</f>
        <v>25.160925530109903</v>
      </c>
      <c r="K33" s="12">
        <f aca="true" t="shared" si="25" ref="K33:K39">0.4085*A33/E33^2</f>
        <v>25.417777777777776</v>
      </c>
      <c r="L33" s="16">
        <f aca="true" t="shared" si="26" ref="L33:L39">0.000002929*A33*K33^2*1000</f>
        <v>264.92476894143203</v>
      </c>
      <c r="M33" s="16">
        <f aca="true" t="shared" si="27" ref="M33:M39">0.9*0.5*L33</f>
        <v>119.21614602364441</v>
      </c>
      <c r="N33" s="14">
        <f aca="true" t="shared" si="28" ref="N33:N39">M33*0.07*24*30/1000</f>
        <v>6.008493759591678</v>
      </c>
      <c r="O33" s="15">
        <v>100</v>
      </c>
      <c r="P33" s="16">
        <f aca="true" t="shared" si="29" ref="P33:P39">0.5*229.2*K33/Q33</f>
        <v>728.2193333333332</v>
      </c>
      <c r="Q33" s="10">
        <v>4</v>
      </c>
    </row>
    <row r="34" spans="1:17" ht="12.75">
      <c r="A34" s="10">
        <v>195</v>
      </c>
      <c r="B34" s="10">
        <v>20</v>
      </c>
      <c r="C34" s="38">
        <v>6</v>
      </c>
      <c r="D34" s="16">
        <v>1</v>
      </c>
      <c r="E34" s="15">
        <v>1.5</v>
      </c>
      <c r="F34" s="13">
        <f t="shared" si="20"/>
        <v>0.29551208016506203</v>
      </c>
      <c r="G34" s="13">
        <f t="shared" si="21"/>
        <v>0.019416813400287974</v>
      </c>
      <c r="H34" s="16">
        <f t="shared" si="22"/>
        <v>102835.17725000001</v>
      </c>
      <c r="I34" s="12">
        <f t="shared" si="23"/>
        <v>2.2127083333333335</v>
      </c>
      <c r="J34" s="12">
        <f t="shared" si="24"/>
        <v>35.60599321409501</v>
      </c>
      <c r="K34" s="12">
        <f t="shared" si="25"/>
        <v>35.403333333333336</v>
      </c>
      <c r="L34" s="16">
        <f t="shared" si="26"/>
        <v>715.8833987261667</v>
      </c>
      <c r="M34" s="16">
        <f t="shared" si="27"/>
        <v>322.147529426775</v>
      </c>
      <c r="N34" s="14">
        <f t="shared" si="28"/>
        <v>16.236235483109464</v>
      </c>
      <c r="O34" s="15">
        <v>100</v>
      </c>
      <c r="P34" s="16">
        <f t="shared" si="29"/>
        <v>1014.3055</v>
      </c>
      <c r="Q34" s="10">
        <v>4</v>
      </c>
    </row>
    <row r="35" spans="1:17" ht="12.75">
      <c r="A35" s="10">
        <v>240</v>
      </c>
      <c r="B35" s="10">
        <v>30</v>
      </c>
      <c r="C35" s="38">
        <v>6</v>
      </c>
      <c r="D35" s="16">
        <v>1</v>
      </c>
      <c r="E35" s="15">
        <v>1.5</v>
      </c>
      <c r="F35" s="13">
        <f t="shared" si="20"/>
        <v>0.43446656234807984</v>
      </c>
      <c r="G35" s="13">
        <f t="shared" si="21"/>
        <v>0.01884541974424141</v>
      </c>
      <c r="H35" s="16">
        <f t="shared" si="22"/>
        <v>126566.372</v>
      </c>
      <c r="I35" s="12">
        <f t="shared" si="23"/>
        <v>2.723333333333333</v>
      </c>
      <c r="J35" s="12">
        <f t="shared" si="24"/>
        <v>43.61475004374695</v>
      </c>
      <c r="K35" s="12">
        <f t="shared" si="25"/>
        <v>43.57333333333333</v>
      </c>
      <c r="L35" s="16">
        <f t="shared" si="26"/>
        <v>1334.6647251626664</v>
      </c>
      <c r="M35" s="16">
        <f t="shared" si="27"/>
        <v>600.5991263231999</v>
      </c>
      <c r="N35" s="14">
        <f t="shared" si="28"/>
        <v>30.270195966689275</v>
      </c>
      <c r="O35" s="15">
        <v>100</v>
      </c>
      <c r="P35" s="16">
        <f t="shared" si="29"/>
        <v>1248.3759999999997</v>
      </c>
      <c r="Q35" s="10">
        <v>4</v>
      </c>
    </row>
    <row r="36" spans="1:17" ht="12.75">
      <c r="A36" s="10">
        <v>275</v>
      </c>
      <c r="B36" s="10">
        <v>40</v>
      </c>
      <c r="C36" s="38">
        <v>6</v>
      </c>
      <c r="D36" s="16">
        <v>1</v>
      </c>
      <c r="E36" s="15">
        <v>1.5</v>
      </c>
      <c r="F36" s="13">
        <f t="shared" si="20"/>
        <v>0.5600683102891157</v>
      </c>
      <c r="G36" s="13">
        <f t="shared" si="21"/>
        <v>0.01850323025379251</v>
      </c>
      <c r="H36" s="16">
        <f t="shared" si="22"/>
        <v>145023.96791666665</v>
      </c>
      <c r="I36" s="12">
        <f t="shared" si="23"/>
        <v>3.120486111111111</v>
      </c>
      <c r="J36" s="12">
        <f t="shared" si="24"/>
        <v>50.37425140799611</v>
      </c>
      <c r="K36" s="12">
        <f t="shared" si="25"/>
        <v>49.92777777777778</v>
      </c>
      <c r="L36" s="16">
        <f t="shared" si="26"/>
        <v>2007.8743819529316</v>
      </c>
      <c r="M36" s="16">
        <f t="shared" si="27"/>
        <v>903.5434718788192</v>
      </c>
      <c r="N36" s="14">
        <f t="shared" si="28"/>
        <v>45.53859098269249</v>
      </c>
      <c r="O36" s="15">
        <v>100</v>
      </c>
      <c r="P36" s="16">
        <f t="shared" si="29"/>
        <v>1430.4308333333333</v>
      </c>
      <c r="Q36" s="10">
        <v>4</v>
      </c>
    </row>
    <row r="37" spans="1:17" ht="12.75">
      <c r="A37" s="10">
        <v>310</v>
      </c>
      <c r="B37" s="10">
        <v>50</v>
      </c>
      <c r="C37" s="38">
        <v>6</v>
      </c>
      <c r="D37" s="16">
        <v>1</v>
      </c>
      <c r="E37" s="15">
        <v>1.5</v>
      </c>
      <c r="F37" s="13">
        <f t="shared" si="20"/>
        <v>0.700896619247779</v>
      </c>
      <c r="G37" s="13">
        <f t="shared" si="21"/>
        <v>0.018222271716451643</v>
      </c>
      <c r="H37" s="16">
        <f t="shared" si="22"/>
        <v>163481.56383333332</v>
      </c>
      <c r="I37" s="12">
        <f t="shared" si="23"/>
        <v>3.5176388888888885</v>
      </c>
      <c r="J37" s="12">
        <f t="shared" si="24"/>
        <v>56.319661855497664</v>
      </c>
      <c r="K37" s="12">
        <f t="shared" si="25"/>
        <v>56.28222222222222</v>
      </c>
      <c r="L37" s="16">
        <f t="shared" si="26"/>
        <v>2876.2295158652337</v>
      </c>
      <c r="M37" s="16">
        <f t="shared" si="27"/>
        <v>1294.3032821393551</v>
      </c>
      <c r="N37" s="14">
        <f t="shared" si="28"/>
        <v>65.2328854198235</v>
      </c>
      <c r="O37" s="15">
        <v>100</v>
      </c>
      <c r="P37" s="16">
        <f t="shared" si="29"/>
        <v>1612.4856666666665</v>
      </c>
      <c r="Q37" s="10">
        <v>4</v>
      </c>
    </row>
    <row r="38" spans="1:17" ht="12.75">
      <c r="A38" s="10">
        <v>385</v>
      </c>
      <c r="B38" s="10">
        <v>75</v>
      </c>
      <c r="C38" s="38">
        <v>6</v>
      </c>
      <c r="D38" s="16">
        <v>1</v>
      </c>
      <c r="E38" s="15">
        <v>1.5</v>
      </c>
      <c r="F38" s="13">
        <f t="shared" si="20"/>
        <v>1.0536159660210453</v>
      </c>
      <c r="G38" s="13">
        <f t="shared" si="21"/>
        <v>0.01775958547742265</v>
      </c>
      <c r="H38" s="16">
        <f t="shared" si="22"/>
        <v>203033.55508333328</v>
      </c>
      <c r="I38" s="12">
        <f t="shared" si="23"/>
        <v>4.368680555555555</v>
      </c>
      <c r="J38" s="12">
        <f t="shared" si="24"/>
        <v>68.97615782823951</v>
      </c>
      <c r="K38" s="12">
        <f t="shared" si="25"/>
        <v>69.89888888888888</v>
      </c>
      <c r="L38" s="16">
        <f t="shared" si="26"/>
        <v>5509.607304078843</v>
      </c>
      <c r="M38" s="16">
        <f t="shared" si="27"/>
        <v>2479.3232868354794</v>
      </c>
      <c r="N38" s="14">
        <f t="shared" si="28"/>
        <v>124.95789365650818</v>
      </c>
      <c r="O38" s="15">
        <v>100</v>
      </c>
      <c r="P38" s="16">
        <f t="shared" si="29"/>
        <v>1335.0687777777775</v>
      </c>
      <c r="Q38" s="10">
        <v>6</v>
      </c>
    </row>
    <row r="39" spans="1:17" ht="12.75">
      <c r="A39" s="10">
        <v>440</v>
      </c>
      <c r="B39" s="10">
        <v>100</v>
      </c>
      <c r="C39" s="38">
        <v>6</v>
      </c>
      <c r="D39" s="16">
        <v>1</v>
      </c>
      <c r="E39" s="15">
        <v>1.5</v>
      </c>
      <c r="F39" s="13">
        <f t="shared" si="20"/>
        <v>1.356191271465915</v>
      </c>
      <c r="G39" s="13">
        <f t="shared" si="21"/>
        <v>0.017501994080951086</v>
      </c>
      <c r="H39" s="16">
        <f t="shared" si="22"/>
        <v>232038.34866666666</v>
      </c>
      <c r="I39" s="12">
        <f t="shared" si="23"/>
        <v>4.9927777777777775</v>
      </c>
      <c r="J39" s="12">
        <f t="shared" si="24"/>
        <v>79.66644622169288</v>
      </c>
      <c r="K39" s="12">
        <f t="shared" si="25"/>
        <v>79.88444444444444</v>
      </c>
      <c r="L39" s="16">
        <f t="shared" si="26"/>
        <v>8224.253468479208</v>
      </c>
      <c r="M39" s="16">
        <f t="shared" si="27"/>
        <v>3700.9140608156436</v>
      </c>
      <c r="N39" s="14">
        <f t="shared" si="28"/>
        <v>186.52606866510843</v>
      </c>
      <c r="O39" s="15">
        <v>100</v>
      </c>
      <c r="P39" s="16">
        <f t="shared" si="29"/>
        <v>1525.792888888889</v>
      </c>
      <c r="Q39" s="10">
        <v>6</v>
      </c>
    </row>
    <row r="40" spans="1:17" ht="12.75">
      <c r="A40" s="10"/>
      <c r="B40" s="10"/>
      <c r="C40" s="38"/>
      <c r="D40" s="16"/>
      <c r="E40" s="15"/>
      <c r="F40" s="12"/>
      <c r="G40" s="12"/>
      <c r="H40" s="12"/>
      <c r="I40" s="12"/>
      <c r="J40" s="12"/>
      <c r="K40" s="12"/>
      <c r="L40" s="16"/>
      <c r="M40" s="16"/>
      <c r="N40" s="14"/>
      <c r="O40" s="15"/>
      <c r="P40" s="16"/>
      <c r="Q40" s="10"/>
    </row>
    <row r="41" spans="1:5" ht="12.75">
      <c r="A41" s="4"/>
      <c r="B41" s="4"/>
      <c r="C41" s="39"/>
      <c r="D41" s="42"/>
      <c r="E41" s="25"/>
    </row>
  </sheetData>
  <printOptions/>
  <pageMargins left="0.75" right="0.75" top="1" bottom="1" header="0.5" footer="0.5"/>
  <pageSetup fitToHeight="1" fitToWidth="1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workbookViewId="0" topLeftCell="A1">
      <selection activeCell="AE38" sqref="AE38"/>
    </sheetView>
  </sheetViews>
  <sheetFormatPr defaultColWidth="9.140625" defaultRowHeight="12.75"/>
  <cols>
    <col min="1" max="1" width="13.421875" style="0" customWidth="1"/>
    <col min="3" max="3" width="12.140625" style="0" customWidth="1"/>
    <col min="4" max="4" width="7.57421875" style="0" customWidth="1"/>
    <col min="5" max="5" width="10.140625" style="0" customWidth="1"/>
    <col min="7" max="7" width="1.7109375" style="0" customWidth="1"/>
    <col min="8" max="8" width="1.8515625" style="0" customWidth="1"/>
    <col min="9" max="9" width="9.28125" style="0" customWidth="1"/>
    <col min="10" max="10" width="17.57421875" style="0" customWidth="1"/>
    <col min="11" max="11" width="9.28125" style="0" customWidth="1"/>
    <col min="12" max="12" width="10.28125" style="5" customWidth="1"/>
    <col min="13" max="13" width="10.57421875" style="5" customWidth="1"/>
    <col min="14" max="14" width="11.00390625" style="0" customWidth="1"/>
    <col min="15" max="15" width="10.00390625" style="7" customWidth="1"/>
    <col min="16" max="16" width="11.00390625" style="0" customWidth="1"/>
  </cols>
  <sheetData>
    <row r="1" spans="1:18" ht="15.75">
      <c r="A1" s="26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6"/>
      <c r="M1" s="16"/>
      <c r="N1" s="10"/>
      <c r="O1" s="15"/>
      <c r="P1" s="10"/>
      <c r="Q1" s="10"/>
      <c r="R1" s="10"/>
    </row>
    <row r="2" spans="1:18" ht="12.75">
      <c r="A2" s="9" t="s">
        <v>20</v>
      </c>
      <c r="B2" s="10"/>
      <c r="C2" s="12"/>
      <c r="D2" s="12"/>
      <c r="E2" s="10"/>
      <c r="F2" s="12"/>
      <c r="G2" s="12"/>
      <c r="H2" s="12"/>
      <c r="I2" s="12"/>
      <c r="J2" s="12"/>
      <c r="K2" s="12"/>
      <c r="L2" s="16"/>
      <c r="M2" s="16"/>
      <c r="N2" s="14"/>
      <c r="O2" s="15"/>
      <c r="P2" s="10"/>
      <c r="Q2" s="10"/>
      <c r="R2" s="10"/>
    </row>
    <row r="3" spans="1:18" ht="38.25">
      <c r="A3" s="9" t="s">
        <v>0</v>
      </c>
      <c r="B3" s="17" t="s">
        <v>18</v>
      </c>
      <c r="C3" s="23" t="s">
        <v>14</v>
      </c>
      <c r="D3" s="24" t="s">
        <v>15</v>
      </c>
      <c r="E3" s="17" t="s">
        <v>13</v>
      </c>
      <c r="F3" s="9" t="s">
        <v>12</v>
      </c>
      <c r="G3" s="19" t="s">
        <v>1</v>
      </c>
      <c r="H3" s="20" t="s">
        <v>2</v>
      </c>
      <c r="I3" s="18" t="s">
        <v>11</v>
      </c>
      <c r="J3" s="17" t="s">
        <v>10</v>
      </c>
      <c r="K3" s="18" t="s">
        <v>9</v>
      </c>
      <c r="L3" s="24" t="s">
        <v>38</v>
      </c>
      <c r="M3" s="24" t="s">
        <v>40</v>
      </c>
      <c r="N3" s="22" t="s">
        <v>7</v>
      </c>
      <c r="O3" s="18" t="s">
        <v>8</v>
      </c>
      <c r="P3" s="20" t="s">
        <v>3</v>
      </c>
      <c r="Q3" s="9" t="s">
        <v>4</v>
      </c>
      <c r="R3" s="10"/>
    </row>
    <row r="4" spans="1:18" ht="12.75">
      <c r="A4" s="10">
        <v>22</v>
      </c>
      <c r="B4" s="10">
        <v>25</v>
      </c>
      <c r="C4" s="12">
        <v>2</v>
      </c>
      <c r="D4" s="10">
        <v>1</v>
      </c>
      <c r="E4" s="10">
        <v>0.5</v>
      </c>
      <c r="F4" s="13">
        <f>1200*G4*I4^2/C4/2/32.17*O4/100</f>
        <v>5.940727775232176</v>
      </c>
      <c r="G4" s="13">
        <f>LOG((0.00015*12/C4/3.7)+5.74/H4^0.9)^-2*0.25</f>
        <v>0.025240035015713123</v>
      </c>
      <c r="H4" s="16">
        <f>7745.8*I4*C4/1</f>
        <v>34805.7523</v>
      </c>
      <c r="I4" s="12">
        <f>0.4085*A4/C4^2</f>
        <v>2.24675</v>
      </c>
      <c r="J4" s="12">
        <f>(64.34*(B4-F4))^0.5</f>
        <v>35.01818920135023</v>
      </c>
      <c r="K4" s="12">
        <f>0.4085*A4/E4^2</f>
        <v>35.948</v>
      </c>
      <c r="L4" s="32">
        <f>0.000002929*A4*K4^2/D4*1000</f>
        <v>83.27056636835201</v>
      </c>
      <c r="M4" s="16">
        <f>0.9*0.5*L4*D4</f>
        <v>37.471754865758406</v>
      </c>
      <c r="N4" s="14">
        <f>M4*0.07*24*30/1000</f>
        <v>1.888576445234224</v>
      </c>
      <c r="O4" s="15">
        <v>500</v>
      </c>
      <c r="P4" s="16">
        <f>0.5*229.2*K4/Q4</f>
        <v>1029.9102</v>
      </c>
      <c r="Q4" s="10">
        <v>4</v>
      </c>
      <c r="R4" s="10"/>
    </row>
    <row r="5" spans="1:18" ht="12.75">
      <c r="A5" s="10">
        <v>31</v>
      </c>
      <c r="B5" s="10">
        <v>50</v>
      </c>
      <c r="C5" s="12">
        <v>2</v>
      </c>
      <c r="D5" s="10">
        <v>1</v>
      </c>
      <c r="E5" s="10">
        <v>0.5</v>
      </c>
      <c r="F5" s="13">
        <f>1200*G5*I5^2/C5/2/32.17*O5/100</f>
        <v>11.193720649097845</v>
      </c>
      <c r="G5" s="13">
        <f>LOG((0.00015*12/C5/3.7)+5.74/H5^0.9)^-2*0.25</f>
        <v>0.023952273361978214</v>
      </c>
      <c r="H5" s="16">
        <f>7745.8*I5*C5/1</f>
        <v>49044.46915</v>
      </c>
      <c r="I5" s="12">
        <f>0.4085*A5/C5^2</f>
        <v>3.1658749999999998</v>
      </c>
      <c r="J5" s="12">
        <f>(64.34*(B5-F5))^0.5</f>
        <v>49.96794986225716</v>
      </c>
      <c r="K5" s="12">
        <f>0.4085*A5/E5^2</f>
        <v>50.653999999999996</v>
      </c>
      <c r="L5" s="32">
        <f>0.000002929*A5*K5^2/D5*1000</f>
        <v>232.974590785084</v>
      </c>
      <c r="M5" s="16">
        <f>0.9*0.5*L5*D5</f>
        <v>104.8385658532878</v>
      </c>
      <c r="N5" s="14">
        <f>M5*0.07*24*30/1000</f>
        <v>5.283863719005705</v>
      </c>
      <c r="O5" s="15">
        <v>500</v>
      </c>
      <c r="P5" s="16">
        <f>0.5*229.2*K5/Q5</f>
        <v>1451.2370999999998</v>
      </c>
      <c r="Q5" s="10">
        <v>4</v>
      </c>
      <c r="R5" s="10"/>
    </row>
    <row r="6" spans="1:18" ht="12.75">
      <c r="A6" s="10">
        <v>38</v>
      </c>
      <c r="B6" s="10">
        <v>75</v>
      </c>
      <c r="C6" s="12">
        <v>2</v>
      </c>
      <c r="D6" s="10">
        <v>1</v>
      </c>
      <c r="E6" s="10">
        <v>0.5</v>
      </c>
      <c r="F6" s="13">
        <f>1200*G6*I6^2/C6/2/32.17*O6/100</f>
        <v>16.362066392336306</v>
      </c>
      <c r="G6" s="13">
        <f>LOG((0.00015*12/C6/3.7)+5.74/H6^0.9)^-2*0.25</f>
        <v>0.023300574014704506</v>
      </c>
      <c r="H6" s="16">
        <f>7745.8*I6*C6/1</f>
        <v>60119.0267</v>
      </c>
      <c r="I6" s="12">
        <f>0.4085*A6/C6^2</f>
        <v>3.88075</v>
      </c>
      <c r="J6" s="12">
        <f>(64.34*(B6-F6))^0.5</f>
        <v>61.42283490947876</v>
      </c>
      <c r="K6" s="12">
        <f>0.4085*A6/E6^2</f>
        <v>62.092</v>
      </c>
      <c r="L6" s="32">
        <f>0.000002929*A6*K6^2/D6*1000</f>
        <v>429.115563276128</v>
      </c>
      <c r="M6" s="16">
        <f>0.9*0.5*L6*D6</f>
        <v>193.1020034742576</v>
      </c>
      <c r="N6" s="14">
        <f>M6*0.07*24*30/1000</f>
        <v>9.732340975102582</v>
      </c>
      <c r="O6" s="15">
        <v>500</v>
      </c>
      <c r="P6" s="16">
        <f>0.5*229.2*K6/Q6</f>
        <v>1778.9358</v>
      </c>
      <c r="Q6" s="10">
        <v>4</v>
      </c>
      <c r="R6" s="10"/>
    </row>
    <row r="7" spans="1:18" ht="12.75">
      <c r="A7" s="10">
        <v>44</v>
      </c>
      <c r="B7" s="10">
        <v>100</v>
      </c>
      <c r="C7" s="12">
        <v>2</v>
      </c>
      <c r="D7" s="10">
        <v>1</v>
      </c>
      <c r="E7" s="10">
        <v>0.5</v>
      </c>
      <c r="F7" s="13">
        <f>1200*G7*I7^2/C7/2/32.17*O7/100</f>
        <v>21.539647857478236</v>
      </c>
      <c r="G7" s="13">
        <f>LOG((0.00015*12/C7/3.7)+5.74/H7^0.9)^-2*0.25</f>
        <v>0.022878571730533193</v>
      </c>
      <c r="H7" s="16">
        <f>7745.8*I7*C7/1</f>
        <v>69611.5046</v>
      </c>
      <c r="I7" s="12">
        <f>0.4085*A7/C7^2</f>
        <v>4.4935</v>
      </c>
      <c r="J7" s="12">
        <f>(64.34*(B7-F7))^0.5</f>
        <v>71.0502572609688</v>
      </c>
      <c r="K7" s="12">
        <f>0.4085*A7/E7^2</f>
        <v>71.896</v>
      </c>
      <c r="L7" s="32">
        <f>0.000002929*A7*K7^2/D7*1000</f>
        <v>666.1645309468161</v>
      </c>
      <c r="M7" s="16">
        <f>0.9*0.5*L7*D7</f>
        <v>299.77403892606725</v>
      </c>
      <c r="N7" s="14">
        <f>M7*0.07*24*30/1000</f>
        <v>15.108611561873792</v>
      </c>
      <c r="O7" s="15">
        <v>500</v>
      </c>
      <c r="P7" s="16">
        <f>0.5*229.2*K7/Q7</f>
        <v>1373.2136</v>
      </c>
      <c r="Q7" s="10">
        <v>6</v>
      </c>
      <c r="R7" s="10"/>
    </row>
    <row r="8" spans="1:18" ht="12.75">
      <c r="A8" s="10">
        <v>54</v>
      </c>
      <c r="B8" s="10">
        <v>150</v>
      </c>
      <c r="C8" s="12">
        <v>2</v>
      </c>
      <c r="D8" s="10">
        <v>1</v>
      </c>
      <c r="E8" s="10">
        <v>0.5</v>
      </c>
      <c r="F8" s="13">
        <f>1200*G8*I8^2/C8/2/32.17*O8/100</f>
        <v>31.693700091123798</v>
      </c>
      <c r="G8" s="13">
        <f>LOG((0.00015*12/C8/3.7)+5.74/H8^0.9)^-2*0.25</f>
        <v>0.02235018319019161</v>
      </c>
      <c r="H8" s="16">
        <f>7745.8*I8*C8/1</f>
        <v>85432.3011</v>
      </c>
      <c r="I8" s="12">
        <f>0.4085*A8/C8^2</f>
        <v>5.514749999999999</v>
      </c>
      <c r="J8" s="12">
        <f>(64.34*(B8-F8))^0.5</f>
        <v>87.2457869248544</v>
      </c>
      <c r="K8" s="12">
        <f>0.4085*A8/E8^2</f>
        <v>88.23599999999999</v>
      </c>
      <c r="L8" s="32">
        <f>0.000002929*A8*K8^2/D8*1000</f>
        <v>1231.415896189536</v>
      </c>
      <c r="M8" s="16">
        <f>0.9*0.5*L8*D8</f>
        <v>554.1371532852912</v>
      </c>
      <c r="N8" s="14">
        <f>M8*0.07*24*30/1000</f>
        <v>27.928512525578682</v>
      </c>
      <c r="O8" s="15">
        <v>500</v>
      </c>
      <c r="P8" s="16">
        <f>0.5*229.2*K8/Q8</f>
        <v>1685.3075999999999</v>
      </c>
      <c r="Q8" s="10">
        <v>6</v>
      </c>
      <c r="R8" s="10"/>
    </row>
    <row r="9" spans="1:18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6"/>
      <c r="M9" s="16"/>
      <c r="N9" s="10"/>
      <c r="O9" s="15"/>
      <c r="P9" s="10"/>
      <c r="Q9" s="10"/>
      <c r="R9" s="10"/>
    </row>
    <row r="10" spans="1:18" ht="12.75">
      <c r="A10" s="9" t="s">
        <v>21</v>
      </c>
      <c r="B10" s="10"/>
      <c r="C10" s="12"/>
      <c r="D10" s="12"/>
      <c r="E10" s="10"/>
      <c r="F10" s="12"/>
      <c r="G10" s="12"/>
      <c r="H10" s="12"/>
      <c r="I10" s="12"/>
      <c r="J10" s="12"/>
      <c r="K10" s="12"/>
      <c r="L10" s="16"/>
      <c r="M10" s="16"/>
      <c r="N10" s="14"/>
      <c r="O10" s="15"/>
      <c r="P10" s="10"/>
      <c r="Q10" s="10"/>
      <c r="R10" s="10"/>
    </row>
    <row r="11" spans="1:18" ht="38.25">
      <c r="A11" s="9" t="s">
        <v>0</v>
      </c>
      <c r="B11" s="17" t="s">
        <v>18</v>
      </c>
      <c r="C11" s="23" t="s">
        <v>14</v>
      </c>
      <c r="D11" s="24" t="s">
        <v>15</v>
      </c>
      <c r="E11" s="17" t="s">
        <v>13</v>
      </c>
      <c r="F11" s="9" t="s">
        <v>12</v>
      </c>
      <c r="G11" s="19" t="s">
        <v>1</v>
      </c>
      <c r="H11" s="20" t="s">
        <v>2</v>
      </c>
      <c r="I11" s="18" t="s">
        <v>11</v>
      </c>
      <c r="J11" s="17" t="s">
        <v>10</v>
      </c>
      <c r="K11" s="18" t="s">
        <v>9</v>
      </c>
      <c r="L11" s="24" t="s">
        <v>38</v>
      </c>
      <c r="M11" s="24" t="s">
        <v>40</v>
      </c>
      <c r="N11" s="22" t="s">
        <v>7</v>
      </c>
      <c r="O11" s="18" t="s">
        <v>8</v>
      </c>
      <c r="P11" s="20" t="s">
        <v>3</v>
      </c>
      <c r="Q11" s="9" t="s">
        <v>4</v>
      </c>
      <c r="R11" s="10"/>
    </row>
    <row r="12" spans="1:18" ht="12.75">
      <c r="A12" s="10">
        <v>80</v>
      </c>
      <c r="B12" s="10">
        <v>25</v>
      </c>
      <c r="C12" s="12">
        <v>3</v>
      </c>
      <c r="D12" s="10">
        <v>1</v>
      </c>
      <c r="E12" s="10">
        <v>1</v>
      </c>
      <c r="F12" s="13">
        <f>1200*G12*I12^2/C12/2/32.17*O12/100</f>
        <v>8.721825612702354</v>
      </c>
      <c r="G12" s="13">
        <f>LOG((0.00015*12/C12/3.7)+5.74/H12^0.9)^-2*0.25</f>
        <v>0.021280380207399873</v>
      </c>
      <c r="H12" s="16">
        <f>7745.8*I12*C12/1</f>
        <v>84377.58133333334</v>
      </c>
      <c r="I12" s="12">
        <f>0.4085*A12/C12^2</f>
        <v>3.631111111111111</v>
      </c>
      <c r="J12" s="12">
        <f>(64.34*(B12-F12))^0.5</f>
        <v>32.36259785738361</v>
      </c>
      <c r="K12" s="12">
        <f>0.4085*A12/E12^2</f>
        <v>32.68</v>
      </c>
      <c r="L12" s="32">
        <f>0.000002929*A12*K12^2/D12*1000</f>
        <v>250.24963596799998</v>
      </c>
      <c r="M12" s="16">
        <f>0.9*0.5*L12*D12</f>
        <v>112.61233618559999</v>
      </c>
      <c r="N12" s="14">
        <f>M12*0.07*24*30/1000</f>
        <v>5.67566174375424</v>
      </c>
      <c r="O12" s="15">
        <v>500</v>
      </c>
      <c r="P12" s="16">
        <f>0.5*229.2*K12/Q12</f>
        <v>936.2819999999999</v>
      </c>
      <c r="Q12" s="10">
        <v>4</v>
      </c>
      <c r="R12" s="10"/>
    </row>
    <row r="13" spans="1:18" ht="12.75">
      <c r="A13" s="10">
        <v>113</v>
      </c>
      <c r="B13" s="10">
        <v>50</v>
      </c>
      <c r="C13" s="12">
        <v>3</v>
      </c>
      <c r="D13" s="10">
        <v>1</v>
      </c>
      <c r="E13" s="10">
        <v>1</v>
      </c>
      <c r="F13" s="13">
        <f>1200*G13*I13^2/C13/2/32.17*O13/100</f>
        <v>16.700336824627918</v>
      </c>
      <c r="G13" s="13">
        <f>LOG((0.00015*12/C13/3.7)+5.74/H13^0.9)^-2*0.25</f>
        <v>0.020423035934025262</v>
      </c>
      <c r="H13" s="16">
        <f>7745.8*I13*C13/1</f>
        <v>119183.33363333333</v>
      </c>
      <c r="I13" s="12">
        <f>0.4085*A13/C13^2</f>
        <v>5.1289444444444445</v>
      </c>
      <c r="J13" s="12">
        <f>(64.34*(B13-F13))^0.5</f>
        <v>46.28715079483117</v>
      </c>
      <c r="K13" s="12">
        <f>0.4085*A13/E13^2</f>
        <v>46.1605</v>
      </c>
      <c r="L13" s="32">
        <f>0.000002929*A13*K13^2/D13*1000</f>
        <v>705.2430644322642</v>
      </c>
      <c r="M13" s="16">
        <f>0.9*0.5*L13*D13</f>
        <v>317.3593789945189</v>
      </c>
      <c r="N13" s="14">
        <f>M13*0.07*24*30/1000</f>
        <v>15.994912701323756</v>
      </c>
      <c r="O13" s="15">
        <v>500</v>
      </c>
      <c r="P13" s="16">
        <f>0.5*229.2*K13/Q13</f>
        <v>1322.4983249999998</v>
      </c>
      <c r="Q13" s="10">
        <v>4</v>
      </c>
      <c r="R13" s="10"/>
    </row>
    <row r="14" spans="1:18" ht="12.75">
      <c r="A14" s="10">
        <v>138</v>
      </c>
      <c r="B14" s="10">
        <v>75</v>
      </c>
      <c r="C14" s="12">
        <v>3</v>
      </c>
      <c r="D14" s="10">
        <v>1</v>
      </c>
      <c r="E14" s="10">
        <v>1</v>
      </c>
      <c r="F14" s="13">
        <f>1200*G14*I14^2/C14/2/32.17*O14/100</f>
        <v>24.39664031659886</v>
      </c>
      <c r="G14" s="13">
        <f>LOG((0.00015*12/C14/3.7)+5.74/H14^0.9)^-2*0.25</f>
        <v>0.020004320712550976</v>
      </c>
      <c r="H14" s="16">
        <f>7745.8*I14*C14/1</f>
        <v>145551.3278</v>
      </c>
      <c r="I14" s="12">
        <f>0.4085*A14/C14^2</f>
        <v>6.2636666666666665</v>
      </c>
      <c r="J14" s="12">
        <f>(64.34*(B14-F14))^0.5</f>
        <v>57.05979461959208</v>
      </c>
      <c r="K14" s="12">
        <f>0.4085*A14/E14^2</f>
        <v>56.373</v>
      </c>
      <c r="L14" s="32">
        <f>0.000002929*A14*K14^2/D14*1000</f>
        <v>1284.519650972058</v>
      </c>
      <c r="M14" s="16">
        <f>0.9*0.5*L14*D14</f>
        <v>578.033842937426</v>
      </c>
      <c r="N14" s="14">
        <f>M14*0.07*24*30/1000</f>
        <v>29.132905684046275</v>
      </c>
      <c r="O14" s="15">
        <v>500</v>
      </c>
      <c r="P14" s="16">
        <f>0.5*229.2*K14/Q14</f>
        <v>1076.7242999999999</v>
      </c>
      <c r="Q14" s="10">
        <v>6</v>
      </c>
      <c r="R14" s="10"/>
    </row>
    <row r="15" spans="1:18" ht="12.75">
      <c r="A15" s="10">
        <v>161</v>
      </c>
      <c r="B15" s="10">
        <v>100</v>
      </c>
      <c r="C15" s="12">
        <v>3</v>
      </c>
      <c r="D15" s="10">
        <v>1</v>
      </c>
      <c r="E15" s="10">
        <v>1</v>
      </c>
      <c r="F15" s="13">
        <f>1200*G15*I15^2/C15/2/32.17*O15/100</f>
        <v>32.728494443514876</v>
      </c>
      <c r="G15" s="13">
        <f>LOG((0.00015*12/C15/3.7)+5.74/H15^0.9)^-2*0.25</f>
        <v>0.019716337040980785</v>
      </c>
      <c r="H15" s="16">
        <f>7745.8*I15*C15/1</f>
        <v>169809.88243333332</v>
      </c>
      <c r="I15" s="12">
        <f>0.4085*A15/C15^2</f>
        <v>7.30761111111111</v>
      </c>
      <c r="J15" s="12">
        <f>(64.34*(B15-F15))^0.5</f>
        <v>65.78942671512081</v>
      </c>
      <c r="K15" s="12">
        <f>0.4085*A15/E15^2</f>
        <v>65.76849999999999</v>
      </c>
      <c r="L15" s="32">
        <f>0.000002929*A15*K15^2/D15*1000</f>
        <v>2039.7696309417395</v>
      </c>
      <c r="M15" s="16">
        <f>0.9*0.5*L15*D15</f>
        <v>917.8963339237828</v>
      </c>
      <c r="N15" s="14">
        <f>M15*0.07*24*30/1000</f>
        <v>46.261975229758654</v>
      </c>
      <c r="O15" s="15">
        <v>500</v>
      </c>
      <c r="P15" s="16">
        <f>0.5*229.2*K15/Q15</f>
        <v>1256.1783499999997</v>
      </c>
      <c r="Q15" s="10">
        <v>6</v>
      </c>
      <c r="R15" s="10"/>
    </row>
    <row r="16" spans="1:18" ht="12.75">
      <c r="A16" s="10">
        <v>197</v>
      </c>
      <c r="B16" s="10">
        <v>150</v>
      </c>
      <c r="C16" s="12">
        <v>3</v>
      </c>
      <c r="D16" s="10">
        <v>1</v>
      </c>
      <c r="E16" s="10">
        <v>1</v>
      </c>
      <c r="F16" s="13">
        <f>1200*G16*I16^2/C16/2/32.17*O16/100</f>
        <v>48.168947134115314</v>
      </c>
      <c r="G16" s="13">
        <f>LOG((0.00015*12/C16/3.7)+5.74/H16^0.9)^-2*0.25</f>
        <v>0.019381467595552322</v>
      </c>
      <c r="H16" s="16">
        <f>7745.8*I16*C16/1</f>
        <v>207779.7940333333</v>
      </c>
      <c r="I16" s="12">
        <f>0.4085*A16/C16^2</f>
        <v>8.94161111111111</v>
      </c>
      <c r="J16" s="12">
        <f>(64.34*(B16-F16))^0.5</f>
        <v>80.94325136409472</v>
      </c>
      <c r="K16" s="12">
        <f>0.4085*A16/E16^2</f>
        <v>80.47449999999999</v>
      </c>
      <c r="L16" s="32">
        <f>0.000002929*A16*K16^2/D16*1000</f>
        <v>3736.819941581202</v>
      </c>
      <c r="M16" s="16">
        <f>0.9*0.5*L16*D16</f>
        <v>1681.5689737115408</v>
      </c>
      <c r="N16" s="14">
        <f>M16*0.07*24*30/1000</f>
        <v>84.75107627506165</v>
      </c>
      <c r="O16" s="15">
        <v>500</v>
      </c>
      <c r="P16" s="16">
        <f>0.5*229.2*K16/Q16</f>
        <v>1537.0629499999998</v>
      </c>
      <c r="Q16" s="10">
        <v>6</v>
      </c>
      <c r="R16" s="10"/>
    </row>
    <row r="17" spans="1:18" ht="12.75">
      <c r="A17" s="10"/>
      <c r="B17" s="10"/>
      <c r="C17" s="12"/>
      <c r="D17" s="12"/>
      <c r="E17" s="10"/>
      <c r="F17" s="10"/>
      <c r="G17" s="10"/>
      <c r="H17" s="10"/>
      <c r="I17" s="12"/>
      <c r="J17" s="12"/>
      <c r="K17" s="12"/>
      <c r="L17" s="16"/>
      <c r="M17" s="16"/>
      <c r="N17" s="14"/>
      <c r="O17" s="15"/>
      <c r="P17" s="10"/>
      <c r="Q17" s="10"/>
      <c r="R17" s="10"/>
    </row>
    <row r="18" spans="1:18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6"/>
      <c r="M18" s="16"/>
      <c r="N18" s="10"/>
      <c r="O18" s="15"/>
      <c r="P18" s="10"/>
      <c r="Q18" s="10"/>
      <c r="R18" s="10"/>
    </row>
    <row r="19" spans="1:18" ht="12.75">
      <c r="A19" s="9" t="s">
        <v>22</v>
      </c>
      <c r="B19" s="10"/>
      <c r="C19" s="12"/>
      <c r="D19" s="12"/>
      <c r="E19" s="10"/>
      <c r="F19" s="12"/>
      <c r="G19" s="12"/>
      <c r="H19" s="12"/>
      <c r="I19" s="12"/>
      <c r="J19" s="12"/>
      <c r="K19" s="12"/>
      <c r="L19" s="16"/>
      <c r="M19" s="16"/>
      <c r="N19" s="14"/>
      <c r="O19" s="15"/>
      <c r="P19" s="10"/>
      <c r="Q19" s="10"/>
      <c r="R19" s="10"/>
    </row>
    <row r="20" spans="1:18" ht="38.25">
      <c r="A20" s="9" t="s">
        <v>0</v>
      </c>
      <c r="B20" s="17" t="s">
        <v>18</v>
      </c>
      <c r="C20" s="23" t="s">
        <v>14</v>
      </c>
      <c r="D20" s="24" t="s">
        <v>15</v>
      </c>
      <c r="E20" s="17" t="s">
        <v>13</v>
      </c>
      <c r="F20" s="9" t="s">
        <v>12</v>
      </c>
      <c r="G20" s="19" t="s">
        <v>1</v>
      </c>
      <c r="H20" s="20" t="s">
        <v>2</v>
      </c>
      <c r="I20" s="18" t="s">
        <v>11</v>
      </c>
      <c r="J20" s="17" t="s">
        <v>10</v>
      </c>
      <c r="K20" s="18" t="s">
        <v>9</v>
      </c>
      <c r="L20" s="24" t="s">
        <v>38</v>
      </c>
      <c r="M20" s="24" t="s">
        <v>40</v>
      </c>
      <c r="N20" s="22" t="s">
        <v>7</v>
      </c>
      <c r="O20" s="18" t="s">
        <v>8</v>
      </c>
      <c r="P20" s="20" t="s">
        <v>3</v>
      </c>
      <c r="Q20" s="9" t="s">
        <v>4</v>
      </c>
      <c r="R20" s="10"/>
    </row>
    <row r="21" spans="1:18" ht="12.75">
      <c r="A21" s="10">
        <v>175</v>
      </c>
      <c r="B21" s="10">
        <v>25</v>
      </c>
      <c r="C21" s="12">
        <v>4</v>
      </c>
      <c r="D21" s="10">
        <v>1</v>
      </c>
      <c r="E21" s="10">
        <v>1.5</v>
      </c>
      <c r="F21" s="13">
        <f>1200*G21*I21^2/C21/2/32.17*O21/100</f>
        <v>9.028118105700381</v>
      </c>
      <c r="G21" s="13">
        <f>LOG((0.00015*12/C21/3.7)+5.74/H21^0.9)^-2*0.25</f>
        <v>0.01939843864714869</v>
      </c>
      <c r="H21" s="16">
        <f>7745.8*I21*C21/1</f>
        <v>138431.969375</v>
      </c>
      <c r="I21" s="12">
        <f>0.4085*A21/C21^2</f>
        <v>4.46796875</v>
      </c>
      <c r="J21" s="12">
        <f>(64.34*(B21-F21))^0.5</f>
        <v>32.056682315536605</v>
      </c>
      <c r="K21" s="12">
        <f>0.4085*A21/E21^2</f>
        <v>31.772222222222222</v>
      </c>
      <c r="L21" s="32">
        <f>0.000002929*A21*K21^2/D21*1000</f>
        <v>517.4311893387345</v>
      </c>
      <c r="M21" s="16">
        <f>0.9*0.5*L21*D21</f>
        <v>232.84403520243052</v>
      </c>
      <c r="N21" s="14">
        <f>M21*0.07*24*30/1000</f>
        <v>11.735339374202498</v>
      </c>
      <c r="O21" s="15">
        <v>500</v>
      </c>
      <c r="P21" s="16">
        <f>0.5*229.2*K21/Q21</f>
        <v>910.2741666666666</v>
      </c>
      <c r="Q21" s="10">
        <v>4</v>
      </c>
      <c r="R21" s="10"/>
    </row>
    <row r="22" spans="1:18" ht="12.75">
      <c r="A22" s="10">
        <v>250</v>
      </c>
      <c r="B22" s="10">
        <v>50</v>
      </c>
      <c r="C22" s="12">
        <v>4</v>
      </c>
      <c r="D22" s="10">
        <v>1</v>
      </c>
      <c r="E22" s="10">
        <v>1.5</v>
      </c>
      <c r="F22" s="13">
        <f>1200*G22*I22^2/C22/2/32.17*O22/100</f>
        <v>17.74732781656386</v>
      </c>
      <c r="G22" s="13">
        <f>LOG((0.00015*12/C22/3.7)+5.74/H22^0.9)^-2*0.25</f>
        <v>0.018685236328012503</v>
      </c>
      <c r="H22" s="16">
        <f>7745.8*I22*C22/1</f>
        <v>197759.95625000002</v>
      </c>
      <c r="I22" s="12">
        <f>0.4085*A22/C22^2</f>
        <v>6.3828125</v>
      </c>
      <c r="J22" s="12">
        <f>(64.34*(B22-F22))^0.5</f>
        <v>45.55367085408465</v>
      </c>
      <c r="K22" s="12">
        <f>0.4085*A22/E22^2</f>
        <v>45.388888888888886</v>
      </c>
      <c r="L22" s="32">
        <f>0.000002929*A22*K22^2/D22*1000</f>
        <v>1508.5457415123456</v>
      </c>
      <c r="M22" s="16">
        <f>0.9*0.5*L22*D22</f>
        <v>678.8455836805555</v>
      </c>
      <c r="N22" s="14">
        <f>M22*0.07*24*30/1000</f>
        <v>34.2138174175</v>
      </c>
      <c r="O22" s="15">
        <v>500</v>
      </c>
      <c r="P22" s="16">
        <f>0.5*229.2*K22/Q22</f>
        <v>1300.3916666666664</v>
      </c>
      <c r="Q22" s="10">
        <v>4</v>
      </c>
      <c r="R22" s="10"/>
    </row>
    <row r="23" spans="1:18" ht="12.75">
      <c r="A23" s="10">
        <v>306</v>
      </c>
      <c r="B23" s="10">
        <v>75</v>
      </c>
      <c r="C23" s="12">
        <v>4</v>
      </c>
      <c r="D23" s="10">
        <v>1</v>
      </c>
      <c r="E23" s="10">
        <v>1.5</v>
      </c>
      <c r="F23" s="13">
        <f>1200*G23*I23^2/C23/2/32.17*O23/100</f>
        <v>26.10760155817586</v>
      </c>
      <c r="G23" s="13">
        <f>LOG((0.00015*12/C23/3.7)+5.74/H23^0.9)^-2*0.25</f>
        <v>0.018347198691914524</v>
      </c>
      <c r="H23" s="16">
        <f>7745.8*I23*C23/1</f>
        <v>242058.18644999998</v>
      </c>
      <c r="I23" s="12">
        <f>0.4085*A23/C23^2</f>
        <v>7.812562499999999</v>
      </c>
      <c r="J23" s="12">
        <f>(64.34*(B23-F23))^0.5</f>
        <v>56.08686937017403</v>
      </c>
      <c r="K23" s="12">
        <f>0.4085*A23/E23^2</f>
        <v>55.556</v>
      </c>
      <c r="L23" s="32">
        <f>0.000002929*A23*K23^2/D23*1000</f>
        <v>2766.3220383992634</v>
      </c>
      <c r="M23" s="16">
        <f>0.9*0.5*L23*D23</f>
        <v>1244.8449172796686</v>
      </c>
      <c r="N23" s="14">
        <f>M23*0.07*24*30/1000</f>
        <v>62.74018383089532</v>
      </c>
      <c r="O23" s="15">
        <v>500</v>
      </c>
      <c r="P23" s="16">
        <f>0.5*229.2*K23/Q23</f>
        <v>1591.6793999999998</v>
      </c>
      <c r="Q23" s="10">
        <v>4</v>
      </c>
      <c r="R23" s="10"/>
    </row>
    <row r="24" spans="1:18" ht="12.75">
      <c r="A24" s="10">
        <v>355</v>
      </c>
      <c r="B24" s="10">
        <v>100</v>
      </c>
      <c r="C24" s="12">
        <v>4</v>
      </c>
      <c r="D24" s="10">
        <v>1</v>
      </c>
      <c r="E24" s="10">
        <v>1.5</v>
      </c>
      <c r="F24" s="13">
        <f>1200*G24*I24^2/C24/2/32.17*O24/100</f>
        <v>34.71492806688209</v>
      </c>
      <c r="G24" s="13">
        <f>LOG((0.00015*12/C24/3.7)+5.74/H24^0.9)^-2*0.25</f>
        <v>0.018126134768422352</v>
      </c>
      <c r="H24" s="16">
        <f>7745.8*I24*C24/1</f>
        <v>280819.13787499996</v>
      </c>
      <c r="I24" s="12">
        <f>0.4085*A24/C24^2</f>
        <v>9.063593749999999</v>
      </c>
      <c r="J24" s="12">
        <f>(64.34*(B24-F24))^0.5</f>
        <v>64.81081335839573</v>
      </c>
      <c r="K24" s="12">
        <f>0.4085*A24/E24^2</f>
        <v>64.45222222222222</v>
      </c>
      <c r="L24" s="32">
        <f>0.000002929*A24*K24^2/D24*1000</f>
        <v>4319.400919123401</v>
      </c>
      <c r="M24" s="16">
        <f>0.9*0.5*L24*D24</f>
        <v>1943.7304136055304</v>
      </c>
      <c r="N24" s="14">
        <f>M24*0.07*24*30/1000</f>
        <v>97.96401284571876</v>
      </c>
      <c r="O24" s="15">
        <v>500</v>
      </c>
      <c r="P24" s="16">
        <f>0.5*229.2*K24/Q24</f>
        <v>1231.0374444444444</v>
      </c>
      <c r="Q24" s="10">
        <v>6</v>
      </c>
      <c r="R24" s="10"/>
    </row>
    <row r="25" spans="1:18" ht="12.75">
      <c r="A25" s="10">
        <v>437</v>
      </c>
      <c r="B25" s="10">
        <v>150</v>
      </c>
      <c r="C25" s="12">
        <v>4</v>
      </c>
      <c r="D25" s="10">
        <v>1</v>
      </c>
      <c r="E25" s="10">
        <v>1.5</v>
      </c>
      <c r="F25" s="13">
        <f>1200*G25*I25^2/C25/2/32.17*O25/100</f>
        <v>51.809691163698034</v>
      </c>
      <c r="G25" s="13">
        <f>LOG((0.00015*12/C25/3.7)+5.74/H25^0.9)^-2*0.25</f>
        <v>0.01785228332164932</v>
      </c>
      <c r="H25" s="16">
        <f>7745.8*I25*C25/1</f>
        <v>345684.40352500003</v>
      </c>
      <c r="I25" s="12">
        <f>0.4085*A25/C25^2</f>
        <v>11.15715625</v>
      </c>
      <c r="J25" s="12">
        <f>(64.34*(B25-F25))^0.5</f>
        <v>79.48310808296105</v>
      </c>
      <c r="K25" s="12">
        <f>0.4085*A25/E25^2</f>
        <v>79.33977777777778</v>
      </c>
      <c r="L25" s="32">
        <f>0.000002929*A25*K25^2/D25*1000</f>
        <v>8057.1744728096455</v>
      </c>
      <c r="M25" s="16">
        <f>0.9*0.5*L25*D25</f>
        <v>3625.7285127643404</v>
      </c>
      <c r="N25" s="14">
        <f>M25*0.07*24*30/1000</f>
        <v>182.7367170433228</v>
      </c>
      <c r="O25" s="15">
        <v>500</v>
      </c>
      <c r="P25" s="16">
        <f>0.5*229.2*K25/Q25</f>
        <v>1136.5423166666667</v>
      </c>
      <c r="Q25" s="10">
        <v>8</v>
      </c>
      <c r="R25" s="10"/>
    </row>
    <row r="26" spans="1:18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6"/>
      <c r="M26" s="16"/>
      <c r="N26" s="10"/>
      <c r="O26" s="15"/>
      <c r="P26" s="10"/>
      <c r="Q26" s="10"/>
      <c r="R26" s="10"/>
    </row>
    <row r="27" spans="1:18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6"/>
      <c r="M27" s="16"/>
      <c r="N27" s="10"/>
      <c r="O27" s="15"/>
      <c r="P27" s="10"/>
      <c r="Q27" s="10"/>
      <c r="R27" s="10"/>
    </row>
    <row r="28" spans="1:18" ht="12.75">
      <c r="A28" s="9" t="s">
        <v>31</v>
      </c>
      <c r="B28" s="10"/>
      <c r="C28" s="12"/>
      <c r="D28" s="12"/>
      <c r="E28" s="10"/>
      <c r="F28" s="12"/>
      <c r="G28" s="12"/>
      <c r="H28" s="12"/>
      <c r="I28" s="12"/>
      <c r="J28" s="12"/>
      <c r="K28" s="12"/>
      <c r="L28" s="16"/>
      <c r="M28" s="16"/>
      <c r="N28" s="14"/>
      <c r="O28" s="15"/>
      <c r="P28" s="10"/>
      <c r="Q28" s="10"/>
      <c r="R28" s="10"/>
    </row>
    <row r="29" spans="1:18" ht="38.25">
      <c r="A29" s="9" t="s">
        <v>0</v>
      </c>
      <c r="B29" s="17" t="s">
        <v>18</v>
      </c>
      <c r="C29" s="23" t="s">
        <v>14</v>
      </c>
      <c r="D29" s="24" t="s">
        <v>15</v>
      </c>
      <c r="E29" s="17" t="s">
        <v>13</v>
      </c>
      <c r="F29" s="9" t="s">
        <v>12</v>
      </c>
      <c r="G29" s="19" t="s">
        <v>1</v>
      </c>
      <c r="H29" s="20" t="s">
        <v>2</v>
      </c>
      <c r="I29" s="18" t="s">
        <v>11</v>
      </c>
      <c r="J29" s="17" t="s">
        <v>10</v>
      </c>
      <c r="K29" s="18" t="s">
        <v>9</v>
      </c>
      <c r="L29" s="24" t="s">
        <v>38</v>
      </c>
      <c r="M29" s="24" t="s">
        <v>40</v>
      </c>
      <c r="N29" s="22" t="s">
        <v>7</v>
      </c>
      <c r="O29" s="18" t="s">
        <v>8</v>
      </c>
      <c r="P29" s="20" t="s">
        <v>3</v>
      </c>
      <c r="Q29" s="9" t="s">
        <v>4</v>
      </c>
      <c r="R29" s="10"/>
    </row>
    <row r="30" spans="1:18" ht="12.75">
      <c r="A30" s="10">
        <v>215</v>
      </c>
      <c r="B30" s="10">
        <v>25</v>
      </c>
      <c r="C30" s="12">
        <v>6</v>
      </c>
      <c r="D30" s="10">
        <v>1</v>
      </c>
      <c r="E30" s="10">
        <v>1.5</v>
      </c>
      <c r="F30" s="13">
        <f>1200*G30*I30^2/C30/2/32.17*O30/100</f>
        <v>1.7706302901394186</v>
      </c>
      <c r="G30" s="13">
        <f>LOG((0.00015*12/C30/3.7)+5.74/H30^0.9)^-2*0.25</f>
        <v>0.019140483580690364</v>
      </c>
      <c r="H30" s="16">
        <f>7745.8*I30*C30/1</f>
        <v>113382.37491666668</v>
      </c>
      <c r="I30" s="12">
        <f>0.4085*A30/C30^2</f>
        <v>2.439652777777778</v>
      </c>
      <c r="J30" s="12">
        <f>(64.34*(B30-F30))^0.5</f>
        <v>38.659767810120506</v>
      </c>
      <c r="K30" s="12">
        <f>0.4085*A30/E30^2</f>
        <v>39.034444444444446</v>
      </c>
      <c r="L30" s="32">
        <f>0.000002929*A30*K30^2/D30*1000</f>
        <v>959.5195701633766</v>
      </c>
      <c r="M30" s="16">
        <f>0.9*0.5*L30*D30</f>
        <v>431.7838065735195</v>
      </c>
      <c r="N30" s="14">
        <f>M30*0.07*24*30/1000</f>
        <v>21.761903851305387</v>
      </c>
      <c r="O30" s="15">
        <v>500</v>
      </c>
      <c r="P30" s="16">
        <f>0.5*229.2*K30/Q30</f>
        <v>1118.3368333333333</v>
      </c>
      <c r="Q30" s="10">
        <v>4</v>
      </c>
      <c r="R30" s="10"/>
    </row>
    <row r="31" spans="1:18" ht="12.75">
      <c r="A31" s="10">
        <v>300</v>
      </c>
      <c r="B31" s="10">
        <v>50</v>
      </c>
      <c r="C31" s="12">
        <v>6</v>
      </c>
      <c r="D31" s="10">
        <v>1</v>
      </c>
      <c r="E31" s="10">
        <v>1.5</v>
      </c>
      <c r="F31" s="13">
        <f>1200*G31*I31^2/C31/2/32.17*O31/100</f>
        <v>3.295554715945591</v>
      </c>
      <c r="G31" s="13">
        <f>LOG((0.00015*12/C31/3.7)+5.74/H31^0.9)^-2*0.25</f>
        <v>0.01829733980398015</v>
      </c>
      <c r="H31" s="16">
        <f>7745.8*I31*C31/1</f>
        <v>158207.965</v>
      </c>
      <c r="I31" s="12">
        <f>0.4085*A31/C31^2</f>
        <v>3.404166666666667</v>
      </c>
      <c r="J31" s="12">
        <f>(64.34*(B31-F31))^0.5</f>
        <v>54.8175520210093</v>
      </c>
      <c r="K31" s="12">
        <f>0.4085*A31/E31^2</f>
        <v>54.46666666666667</v>
      </c>
      <c r="L31" s="32">
        <f>0.000002929*A31*K31^2/D31*1000</f>
        <v>2606.767041333333</v>
      </c>
      <c r="M31" s="16">
        <f>0.9*0.5*L31*D31</f>
        <v>1173.0451686</v>
      </c>
      <c r="N31" s="14">
        <f>M31*0.07*24*30/1000</f>
        <v>59.12147649744</v>
      </c>
      <c r="O31" s="15">
        <v>500</v>
      </c>
      <c r="P31" s="16">
        <f>0.5*229.2*K31/Q31</f>
        <v>1560.47</v>
      </c>
      <c r="Q31" s="10">
        <v>4</v>
      </c>
      <c r="R31" s="10"/>
    </row>
    <row r="32" spans="1:18" ht="12.75">
      <c r="A32" s="10">
        <v>370</v>
      </c>
      <c r="B32" s="10">
        <v>75</v>
      </c>
      <c r="C32" s="12">
        <v>6</v>
      </c>
      <c r="D32" s="10">
        <v>1</v>
      </c>
      <c r="E32" s="10">
        <v>1.5</v>
      </c>
      <c r="F32" s="13">
        <f>1200*G32*I32^2/C32/2/32.17*O32/100</f>
        <v>4.887667296863993</v>
      </c>
      <c r="G32" s="13">
        <f>LOG((0.00015*12/C32/3.7)+5.74/H32^0.9)^-2*0.25</f>
        <v>0.017840216648882405</v>
      </c>
      <c r="H32" s="16">
        <f>7745.8*I32*C32/1</f>
        <v>195123.1568333333</v>
      </c>
      <c r="I32" s="12">
        <f>0.4085*A32/C32^2</f>
        <v>4.198472222222222</v>
      </c>
      <c r="J32" s="12">
        <f>(64.34*(B32-F32))^0.5</f>
        <v>67.1641830600192</v>
      </c>
      <c r="K32" s="12">
        <f>0.4085*A32/E32^2</f>
        <v>67.17555555555555</v>
      </c>
      <c r="L32" s="32">
        <f>0.000002929*A32*K32^2/D32*1000</f>
        <v>4890.391516468789</v>
      </c>
      <c r="M32" s="16">
        <f>0.9*0.5*L32*D32</f>
        <v>2200.676182410955</v>
      </c>
      <c r="N32" s="14">
        <f>M32*0.07*24*30/1000</f>
        <v>110.91407959351214</v>
      </c>
      <c r="O32" s="15">
        <v>500</v>
      </c>
      <c r="P32" s="16">
        <f>0.5*229.2*K32/Q32</f>
        <v>1283.0531111111109</v>
      </c>
      <c r="Q32" s="10">
        <v>6</v>
      </c>
      <c r="R32" s="10"/>
    </row>
    <row r="33" spans="1:18" ht="12.75">
      <c r="A33" s="10">
        <v>425</v>
      </c>
      <c r="B33" s="10">
        <v>100</v>
      </c>
      <c r="C33" s="12">
        <v>6</v>
      </c>
      <c r="D33" s="10">
        <v>1</v>
      </c>
      <c r="E33" s="10">
        <v>1.5</v>
      </c>
      <c r="F33" s="13">
        <f>1200*G33*I33^2/C33/2/32.17*O33/100</f>
        <v>6.349983680520763</v>
      </c>
      <c r="G33" s="13">
        <f>LOG((0.00015*12/C33/3.7)+5.74/H33^0.9)^-2*0.25</f>
        <v>0.017566962953199136</v>
      </c>
      <c r="H33" s="16">
        <f>7745.8*I33*C33/1</f>
        <v>224127.95041666663</v>
      </c>
      <c r="I33" s="12">
        <f>0.4085*A33/C33^2</f>
        <v>4.822569444444444</v>
      </c>
      <c r="J33" s="12">
        <f>(64.34*(B33-F33))^0.5</f>
        <v>77.62372092340907</v>
      </c>
      <c r="K33" s="12">
        <f>0.4085*A33/E33^2</f>
        <v>77.1611111111111</v>
      </c>
      <c r="L33" s="32">
        <f>0.000002929*A33*K33^2/D33*1000</f>
        <v>7411.485228050151</v>
      </c>
      <c r="M33" s="16">
        <f>0.9*0.5*L33*D33</f>
        <v>3335.168352622568</v>
      </c>
      <c r="N33" s="14">
        <f>M33*0.07*24*30/1000</f>
        <v>168.09248497217746</v>
      </c>
      <c r="O33" s="15">
        <v>500</v>
      </c>
      <c r="P33" s="16">
        <f>0.5*229.2*K33/Q33</f>
        <v>1473.777222222222</v>
      </c>
      <c r="Q33" s="10">
        <v>6</v>
      </c>
      <c r="R33" s="10"/>
    </row>
    <row r="34" spans="1:18" ht="12.75">
      <c r="A34" s="10">
        <v>525</v>
      </c>
      <c r="B34" s="10">
        <v>150</v>
      </c>
      <c r="C34" s="12">
        <v>6</v>
      </c>
      <c r="D34" s="10">
        <v>1</v>
      </c>
      <c r="E34" s="10">
        <v>1.5</v>
      </c>
      <c r="F34" s="13">
        <f>1200*G34*I34^2/C34/2/32.17*O34/100</f>
        <v>9.482648765540947</v>
      </c>
      <c r="G34" s="13">
        <f>LOG((0.00015*12/C34/3.7)+5.74/H34^0.9)^-2*0.25</f>
        <v>0.017191469230156606</v>
      </c>
      <c r="H34" s="16">
        <f>7745.8*I34*C34/1</f>
        <v>276863.93875</v>
      </c>
      <c r="I34" s="12">
        <f>0.4085*A34/C34^2</f>
        <v>5.957291666666666</v>
      </c>
      <c r="J34" s="12">
        <f>(64.34*(B34-F34))^0.5</f>
        <v>95.08357575535902</v>
      </c>
      <c r="K34" s="12">
        <f>0.4085*A34/E34^2</f>
        <v>95.31666666666666</v>
      </c>
      <c r="L34" s="32">
        <f>0.000002929*A34*K34^2/D34*1000</f>
        <v>13970.642112145832</v>
      </c>
      <c r="M34" s="16">
        <f>0.9*0.5*L34*D34</f>
        <v>6286.788950465624</v>
      </c>
      <c r="N34" s="14">
        <f>M34*0.07*24*30/1000</f>
        <v>316.8541631034675</v>
      </c>
      <c r="O34" s="15">
        <v>500</v>
      </c>
      <c r="P34" s="16">
        <f>0.5*229.2*K34/Q34</f>
        <v>1365.4112499999999</v>
      </c>
      <c r="Q34" s="10">
        <v>8</v>
      </c>
      <c r="R34" s="10"/>
    </row>
  </sheetData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workbookViewId="0" topLeftCell="L22">
      <selection activeCell="A37" sqref="A37"/>
    </sheetView>
  </sheetViews>
  <sheetFormatPr defaultColWidth="9.140625" defaultRowHeight="12.75"/>
  <cols>
    <col min="1" max="1" width="10.00390625" style="0" customWidth="1"/>
    <col min="3" max="3" width="9.7109375" style="40" customWidth="1"/>
    <col min="4" max="4" width="8.00390625" style="7" customWidth="1"/>
    <col min="5" max="5" width="7.140625" style="1" customWidth="1"/>
    <col min="6" max="6" width="1.57421875" style="0" customWidth="1"/>
    <col min="7" max="7" width="2.7109375" style="0" customWidth="1"/>
    <col min="8" max="8" width="12.8515625" style="0" customWidth="1"/>
    <col min="9" max="9" width="14.7109375" style="0" customWidth="1"/>
    <col min="10" max="10" width="8.8515625" style="0" customWidth="1"/>
    <col min="11" max="11" width="11.140625" style="5" customWidth="1"/>
    <col min="12" max="12" width="12.57421875" style="5" customWidth="1"/>
    <col min="13" max="13" width="11.57421875" style="5" customWidth="1"/>
    <col min="14" max="14" width="11.140625" style="7" customWidth="1"/>
    <col min="15" max="15" width="11.421875" style="0" customWidth="1"/>
  </cols>
  <sheetData>
    <row r="1" spans="1:16" ht="12.75">
      <c r="A1" s="9" t="s">
        <v>20</v>
      </c>
      <c r="B1" s="10"/>
      <c r="C1" s="38"/>
      <c r="D1" s="15"/>
      <c r="E1" s="12"/>
      <c r="F1" s="12"/>
      <c r="G1" s="12"/>
      <c r="H1" s="12"/>
      <c r="I1" s="12"/>
      <c r="J1" s="12"/>
      <c r="K1" s="16"/>
      <c r="L1" s="16"/>
      <c r="M1" s="16"/>
      <c r="N1" s="15"/>
      <c r="O1" s="10"/>
      <c r="P1" s="10"/>
    </row>
    <row r="2" spans="1:16" ht="38.25">
      <c r="A2" s="9" t="s">
        <v>0</v>
      </c>
      <c r="B2" s="17" t="s">
        <v>18</v>
      </c>
      <c r="C2" s="24" t="s">
        <v>14</v>
      </c>
      <c r="D2" s="17" t="s">
        <v>13</v>
      </c>
      <c r="E2" s="23" t="s">
        <v>12</v>
      </c>
      <c r="F2" s="19" t="s">
        <v>1</v>
      </c>
      <c r="G2" s="20" t="s">
        <v>2</v>
      </c>
      <c r="H2" s="18" t="s">
        <v>11</v>
      </c>
      <c r="I2" s="17" t="s">
        <v>10</v>
      </c>
      <c r="J2" s="18" t="s">
        <v>9</v>
      </c>
      <c r="K2" s="24" t="s">
        <v>38</v>
      </c>
      <c r="L2" s="24" t="s">
        <v>40</v>
      </c>
      <c r="M2" s="24" t="s">
        <v>7</v>
      </c>
      <c r="N2" s="18" t="s">
        <v>8</v>
      </c>
      <c r="O2" s="20" t="s">
        <v>3</v>
      </c>
      <c r="P2" s="9" t="s">
        <v>4</v>
      </c>
    </row>
    <row r="3" spans="1:16" ht="12.75">
      <c r="A3" s="10">
        <v>27</v>
      </c>
      <c r="B3" s="10">
        <v>50</v>
      </c>
      <c r="C3" s="38">
        <v>2</v>
      </c>
      <c r="D3" s="15">
        <v>0.5</v>
      </c>
      <c r="E3" s="12">
        <f aca="true" t="shared" si="0" ref="E3:E8">1200*F3*H3^2/C3/2/32.17*N3/100</f>
        <v>17.329295743729983</v>
      </c>
      <c r="F3" s="13">
        <f aca="true" t="shared" si="1" ref="F3:F8">LOG((0.00015*12/C3/3.7)+5.74/G3^0.9)^-2*0.25</f>
        <v>0.02444100457288321</v>
      </c>
      <c r="G3" s="16">
        <f aca="true" t="shared" si="2" ref="G3:G8">7745.8*H3*C3/1</f>
        <v>42716.15055</v>
      </c>
      <c r="H3" s="12">
        <f aca="true" t="shared" si="3" ref="H3:H8">0.4085*A3/C3^2</f>
        <v>2.7573749999999997</v>
      </c>
      <c r="I3" s="12">
        <f aca="true" t="shared" si="4" ref="I3:I8">(64.34*(B3-E3))^0.5</f>
        <v>45.84793465193839</v>
      </c>
      <c r="J3" s="12">
        <f aca="true" t="shared" si="5" ref="J3:J8">0.4085*A3/D3^2</f>
        <v>44.117999999999995</v>
      </c>
      <c r="K3" s="16">
        <f aca="true" t="shared" si="6" ref="K3:K8">0.000002929*A3*J3^2*1000</f>
        <v>153.926987023692</v>
      </c>
      <c r="L3" s="16">
        <f aca="true" t="shared" si="7" ref="L3:L8">0.9*0.5*K3</f>
        <v>69.2671441606614</v>
      </c>
      <c r="M3" s="31">
        <f aca="true" t="shared" si="8" ref="M3:M8">L3*0.07*24*30/1000</f>
        <v>3.4910640656973353</v>
      </c>
      <c r="N3" s="15">
        <v>1000</v>
      </c>
      <c r="O3" s="16">
        <f aca="true" t="shared" si="9" ref="O3:O8">0.5*229.2*J3/P3</f>
        <v>1263.9806999999998</v>
      </c>
      <c r="P3" s="10">
        <v>4</v>
      </c>
    </row>
    <row r="4" spans="1:16" ht="12.75">
      <c r="A4" s="10">
        <v>34</v>
      </c>
      <c r="B4" s="10">
        <v>75</v>
      </c>
      <c r="C4" s="38">
        <v>2</v>
      </c>
      <c r="D4" s="15">
        <v>0.5</v>
      </c>
      <c r="E4" s="12">
        <f t="shared" si="0"/>
        <v>26.586695925294812</v>
      </c>
      <c r="F4" s="13">
        <f t="shared" si="1"/>
        <v>0.02364679038072238</v>
      </c>
      <c r="G4" s="16">
        <f t="shared" si="2"/>
        <v>53790.708099999996</v>
      </c>
      <c r="H4" s="12">
        <f t="shared" si="3"/>
        <v>3.47225</v>
      </c>
      <c r="I4" s="12">
        <f t="shared" si="4"/>
        <v>55.81139654377529</v>
      </c>
      <c r="J4" s="12">
        <f t="shared" si="5"/>
        <v>55.556</v>
      </c>
      <c r="K4" s="16">
        <f t="shared" si="6"/>
        <v>307.36911537769595</v>
      </c>
      <c r="L4" s="16">
        <f t="shared" si="7"/>
        <v>138.3161019199632</v>
      </c>
      <c r="M4" s="31">
        <f t="shared" si="8"/>
        <v>6.971131536766144</v>
      </c>
      <c r="N4" s="15">
        <v>1000</v>
      </c>
      <c r="O4" s="16">
        <f t="shared" si="9"/>
        <v>1061.1195999999998</v>
      </c>
      <c r="P4" s="10">
        <v>6</v>
      </c>
    </row>
    <row r="5" spans="1:16" ht="12.75">
      <c r="A5" s="10">
        <v>40</v>
      </c>
      <c r="B5" s="10">
        <v>100</v>
      </c>
      <c r="C5" s="38">
        <v>2</v>
      </c>
      <c r="D5" s="15">
        <v>0.5</v>
      </c>
      <c r="E5" s="12">
        <f t="shared" si="0"/>
        <v>36.022910493387506</v>
      </c>
      <c r="F5" s="13">
        <f t="shared" si="1"/>
        <v>0.023148586829591224</v>
      </c>
      <c r="G5" s="16">
        <f t="shared" si="2"/>
        <v>63283.186</v>
      </c>
      <c r="H5" s="12">
        <f t="shared" si="3"/>
        <v>4.085</v>
      </c>
      <c r="I5" s="12">
        <f t="shared" si="4"/>
        <v>64.15828815402924</v>
      </c>
      <c r="J5" s="12">
        <f t="shared" si="5"/>
        <v>65.36</v>
      </c>
      <c r="K5" s="16">
        <f t="shared" si="6"/>
        <v>500.49927193599996</v>
      </c>
      <c r="L5" s="16">
        <f t="shared" si="7"/>
        <v>225.22467237119997</v>
      </c>
      <c r="M5" s="31">
        <f t="shared" si="8"/>
        <v>11.35132348750848</v>
      </c>
      <c r="N5" s="15">
        <v>1000</v>
      </c>
      <c r="O5" s="16">
        <f t="shared" si="9"/>
        <v>1248.376</v>
      </c>
      <c r="P5" s="10">
        <v>6</v>
      </c>
    </row>
    <row r="6" spans="1:16" ht="12.75">
      <c r="A6" s="10">
        <v>44</v>
      </c>
      <c r="B6" s="10">
        <v>125</v>
      </c>
      <c r="C6" s="38">
        <v>2</v>
      </c>
      <c r="D6" s="15">
        <v>0.5</v>
      </c>
      <c r="E6" s="12">
        <f t="shared" si="0"/>
        <v>43.07929571495647</v>
      </c>
      <c r="F6" s="13">
        <f t="shared" si="1"/>
        <v>0.022878571730533193</v>
      </c>
      <c r="G6" s="16">
        <f t="shared" si="2"/>
        <v>69611.5046</v>
      </c>
      <c r="H6" s="12">
        <f t="shared" si="3"/>
        <v>4.4935</v>
      </c>
      <c r="I6" s="12">
        <f t="shared" si="4"/>
        <v>72.60012474989077</v>
      </c>
      <c r="J6" s="12">
        <f t="shared" si="5"/>
        <v>71.896</v>
      </c>
      <c r="K6" s="16">
        <f t="shared" si="6"/>
        <v>666.1645309468161</v>
      </c>
      <c r="L6" s="16">
        <f t="shared" si="7"/>
        <v>299.77403892606725</v>
      </c>
      <c r="M6" s="31">
        <f t="shared" si="8"/>
        <v>15.108611561873792</v>
      </c>
      <c r="N6" s="15">
        <v>1000</v>
      </c>
      <c r="O6" s="16">
        <f t="shared" si="9"/>
        <v>1373.2136</v>
      </c>
      <c r="P6" s="10">
        <v>6</v>
      </c>
    </row>
    <row r="7" spans="1:16" ht="12.75">
      <c r="A7" s="10">
        <v>48</v>
      </c>
      <c r="B7" s="10">
        <v>150</v>
      </c>
      <c r="C7" s="38">
        <v>2</v>
      </c>
      <c r="D7" s="15">
        <v>0.5</v>
      </c>
      <c r="E7" s="12">
        <f t="shared" si="0"/>
        <v>50.746022967934785</v>
      </c>
      <c r="F7" s="13">
        <f t="shared" si="1"/>
        <v>0.022645671548567933</v>
      </c>
      <c r="G7" s="16">
        <f t="shared" si="2"/>
        <v>75939.82319999998</v>
      </c>
      <c r="H7" s="12">
        <f t="shared" si="3"/>
        <v>4.901999999999999</v>
      </c>
      <c r="I7" s="12">
        <f t="shared" si="4"/>
        <v>79.91245761608809</v>
      </c>
      <c r="J7" s="12">
        <f t="shared" si="5"/>
        <v>78.43199999999999</v>
      </c>
      <c r="K7" s="16">
        <f t="shared" si="6"/>
        <v>864.8627419054076</v>
      </c>
      <c r="L7" s="16">
        <f t="shared" si="7"/>
        <v>389.18823385743343</v>
      </c>
      <c r="M7" s="31">
        <f t="shared" si="8"/>
        <v>19.61508698641465</v>
      </c>
      <c r="N7" s="15">
        <v>1000</v>
      </c>
      <c r="O7" s="16">
        <f t="shared" si="9"/>
        <v>1498.0511999999997</v>
      </c>
      <c r="P7" s="10">
        <v>6</v>
      </c>
    </row>
    <row r="8" spans="1:16" ht="12.75">
      <c r="A8" s="10">
        <v>56</v>
      </c>
      <c r="B8" s="10">
        <v>200</v>
      </c>
      <c r="C8" s="38">
        <v>2</v>
      </c>
      <c r="D8" s="15">
        <v>0.5</v>
      </c>
      <c r="E8" s="12">
        <f t="shared" si="0"/>
        <v>67.90494350323056</v>
      </c>
      <c r="F8" s="13">
        <f t="shared" si="1"/>
        <v>0.022263375193015005</v>
      </c>
      <c r="G8" s="16">
        <f t="shared" si="2"/>
        <v>88596.4604</v>
      </c>
      <c r="H8" s="12">
        <f t="shared" si="3"/>
        <v>5.718999999999999</v>
      </c>
      <c r="I8" s="12">
        <f t="shared" si="4"/>
        <v>92.18999910512065</v>
      </c>
      <c r="J8" s="12">
        <f t="shared" si="5"/>
        <v>91.50399999999999</v>
      </c>
      <c r="K8" s="16">
        <f t="shared" si="6"/>
        <v>1373.3700021923835</v>
      </c>
      <c r="L8" s="16">
        <f t="shared" si="7"/>
        <v>618.0165009865726</v>
      </c>
      <c r="M8" s="31">
        <f t="shared" si="8"/>
        <v>31.148031649723265</v>
      </c>
      <c r="N8" s="15">
        <v>1000</v>
      </c>
      <c r="O8" s="16">
        <f t="shared" si="9"/>
        <v>1747.7263999999998</v>
      </c>
      <c r="P8" s="10">
        <v>6</v>
      </c>
    </row>
    <row r="9" spans="1:16" ht="12.75">
      <c r="A9" s="10"/>
      <c r="B9" s="10"/>
      <c r="C9" s="38"/>
      <c r="D9" s="15"/>
      <c r="E9" s="12"/>
      <c r="F9" s="10"/>
      <c r="G9" s="10"/>
      <c r="H9" s="10"/>
      <c r="I9" s="10"/>
      <c r="J9" s="10"/>
      <c r="K9" s="16"/>
      <c r="L9" s="16"/>
      <c r="M9" s="16"/>
      <c r="N9" s="15"/>
      <c r="O9" s="10"/>
      <c r="P9" s="10"/>
    </row>
    <row r="10" spans="1:16" ht="12.75">
      <c r="A10" s="9" t="s">
        <v>21</v>
      </c>
      <c r="B10" s="10"/>
      <c r="C10" s="38"/>
      <c r="D10" s="15"/>
      <c r="E10" s="12"/>
      <c r="F10" s="12"/>
      <c r="G10" s="12"/>
      <c r="H10" s="12"/>
      <c r="I10" s="12"/>
      <c r="J10" s="12"/>
      <c r="K10" s="16"/>
      <c r="L10" s="16"/>
      <c r="M10" s="16"/>
      <c r="N10" s="15"/>
      <c r="O10" s="10"/>
      <c r="P10" s="10"/>
    </row>
    <row r="11" spans="1:16" ht="38.25">
      <c r="A11" s="9" t="s">
        <v>0</v>
      </c>
      <c r="B11" s="17" t="s">
        <v>18</v>
      </c>
      <c r="C11" s="24" t="s">
        <v>14</v>
      </c>
      <c r="D11" s="17" t="s">
        <v>13</v>
      </c>
      <c r="E11" s="23" t="s">
        <v>12</v>
      </c>
      <c r="F11" s="19" t="s">
        <v>1</v>
      </c>
      <c r="G11" s="20" t="s">
        <v>2</v>
      </c>
      <c r="H11" s="18" t="s">
        <v>11</v>
      </c>
      <c r="I11" s="17" t="s">
        <v>10</v>
      </c>
      <c r="J11" s="18" t="s">
        <v>9</v>
      </c>
      <c r="K11" s="24" t="s">
        <v>38</v>
      </c>
      <c r="L11" s="24" t="s">
        <v>40</v>
      </c>
      <c r="M11" s="22" t="s">
        <v>7</v>
      </c>
      <c r="N11" s="18" t="s">
        <v>8</v>
      </c>
      <c r="O11" s="20" t="s">
        <v>3</v>
      </c>
      <c r="P11" s="9" t="s">
        <v>4</v>
      </c>
    </row>
    <row r="12" spans="1:16" ht="12.75">
      <c r="A12" s="10">
        <v>96</v>
      </c>
      <c r="B12" s="10">
        <v>50</v>
      </c>
      <c r="C12" s="38">
        <v>3</v>
      </c>
      <c r="D12" s="15">
        <v>1</v>
      </c>
      <c r="E12" s="12">
        <f aca="true" t="shared" si="10" ref="E12:E17">1200*F12*H12^2/C12/2/32.17*N12/100</f>
        <v>24.55838145083448</v>
      </c>
      <c r="F12" s="13">
        <f aca="true" t="shared" si="11" ref="F12:F17">LOG((0.00015*12/C12/3.7)+5.74/G12^0.9)^-2*0.25</f>
        <v>0.02080555172731577</v>
      </c>
      <c r="G12" s="16">
        <f aca="true" t="shared" si="12" ref="G12:G17">7745.8*H12*C12/1</f>
        <v>101253.0976</v>
      </c>
      <c r="H12" s="12">
        <f aca="true" t="shared" si="13" ref="H12:H17">0.4085*A12/C12^2</f>
        <v>4.357333333333333</v>
      </c>
      <c r="I12" s="12">
        <f aca="true" t="shared" si="14" ref="I12:I17">(64.34*(B12-E12))^0.5</f>
        <v>40.45879060789274</v>
      </c>
      <c r="J12" s="12">
        <f aca="true" t="shared" si="15" ref="J12:J17">0.4085*A12/D12^2</f>
        <v>39.215999999999994</v>
      </c>
      <c r="K12" s="16">
        <f aca="true" t="shared" si="16" ref="K12:K17">0.000002929*A12*J12^2*1000</f>
        <v>432.4313709527038</v>
      </c>
      <c r="L12" s="16">
        <f aca="true" t="shared" si="17" ref="L12:L17">0.9*0.5*K12</f>
        <v>194.59411692871672</v>
      </c>
      <c r="M12" s="31">
        <f aca="true" t="shared" si="18" ref="M12:M17">L12*0.07*24*30/1000</f>
        <v>9.807543493207325</v>
      </c>
      <c r="N12" s="15">
        <v>1000</v>
      </c>
      <c r="O12" s="16">
        <f aca="true" t="shared" si="19" ref="O12:O17">0.5*229.2*J12/P12</f>
        <v>1123.5383999999997</v>
      </c>
      <c r="P12" s="10">
        <v>4</v>
      </c>
    </row>
    <row r="13" spans="1:16" ht="12.75">
      <c r="A13" s="10">
        <v>120</v>
      </c>
      <c r="B13" s="10">
        <v>75</v>
      </c>
      <c r="C13" s="38">
        <v>3</v>
      </c>
      <c r="D13" s="15">
        <v>1</v>
      </c>
      <c r="E13" s="12">
        <f t="shared" si="10"/>
        <v>37.42437452382044</v>
      </c>
      <c r="F13" s="13">
        <f t="shared" si="11"/>
        <v>0.020291493859602428</v>
      </c>
      <c r="G13" s="16">
        <f t="shared" si="12"/>
        <v>126566.372</v>
      </c>
      <c r="H13" s="12">
        <f t="shared" si="13"/>
        <v>5.446666666666666</v>
      </c>
      <c r="I13" s="12">
        <f t="shared" si="14"/>
        <v>49.169256076713154</v>
      </c>
      <c r="J13" s="12">
        <f t="shared" si="15"/>
        <v>49.019999999999996</v>
      </c>
      <c r="K13" s="16">
        <f t="shared" si="16"/>
        <v>844.5925213919998</v>
      </c>
      <c r="L13" s="16">
        <f t="shared" si="17"/>
        <v>380.0666346263999</v>
      </c>
      <c r="M13" s="31">
        <f t="shared" si="18"/>
        <v>19.155358385170558</v>
      </c>
      <c r="N13" s="15">
        <v>1000</v>
      </c>
      <c r="O13" s="16">
        <f t="shared" si="19"/>
        <v>936.2819999999998</v>
      </c>
      <c r="P13" s="10">
        <v>6</v>
      </c>
    </row>
    <row r="14" spans="1:16" ht="12.75">
      <c r="A14" s="10">
        <v>139</v>
      </c>
      <c r="B14" s="10">
        <v>100</v>
      </c>
      <c r="C14" s="38">
        <v>3</v>
      </c>
      <c r="D14" s="15">
        <v>1</v>
      </c>
      <c r="E14" s="12">
        <f t="shared" si="10"/>
        <v>49.46798385549105</v>
      </c>
      <c r="F14" s="13">
        <f t="shared" si="11"/>
        <v>0.019990173903181214</v>
      </c>
      <c r="G14" s="16">
        <f t="shared" si="12"/>
        <v>146606.04756666665</v>
      </c>
      <c r="H14" s="12">
        <f t="shared" si="13"/>
        <v>6.309055555555555</v>
      </c>
      <c r="I14" s="12">
        <f t="shared" si="14"/>
        <v>57.0195573355117</v>
      </c>
      <c r="J14" s="12">
        <f t="shared" si="15"/>
        <v>56.781499999999994</v>
      </c>
      <c r="K14" s="16">
        <f t="shared" si="16"/>
        <v>1312.6468302709843</v>
      </c>
      <c r="L14" s="16">
        <f t="shared" si="17"/>
        <v>590.6910736219429</v>
      </c>
      <c r="M14" s="31">
        <f t="shared" si="18"/>
        <v>29.770830110545923</v>
      </c>
      <c r="N14" s="15">
        <v>1000</v>
      </c>
      <c r="O14" s="16">
        <f t="shared" si="19"/>
        <v>1084.5266499999998</v>
      </c>
      <c r="P14" s="10">
        <v>6</v>
      </c>
    </row>
    <row r="15" spans="1:16" ht="12.75">
      <c r="A15" s="10">
        <v>156</v>
      </c>
      <c r="B15" s="10">
        <v>125</v>
      </c>
      <c r="C15" s="38">
        <v>3</v>
      </c>
      <c r="D15" s="15">
        <v>1</v>
      </c>
      <c r="E15" s="12">
        <f t="shared" si="10"/>
        <v>61.63083411699966</v>
      </c>
      <c r="F15" s="13">
        <f t="shared" si="11"/>
        <v>0.019772920090377965</v>
      </c>
      <c r="G15" s="16">
        <f t="shared" si="12"/>
        <v>164536.2836</v>
      </c>
      <c r="H15" s="12">
        <f t="shared" si="13"/>
        <v>7.080666666666667</v>
      </c>
      <c r="I15" s="12">
        <f t="shared" si="14"/>
        <v>63.85273786543724</v>
      </c>
      <c r="J15" s="12">
        <f t="shared" si="15"/>
        <v>63.726</v>
      </c>
      <c r="K15" s="16">
        <f t="shared" si="16"/>
        <v>1855.569769498224</v>
      </c>
      <c r="L15" s="16">
        <f t="shared" si="17"/>
        <v>835.0063962742008</v>
      </c>
      <c r="M15" s="31">
        <f t="shared" si="18"/>
        <v>42.084322372219724</v>
      </c>
      <c r="N15" s="15">
        <v>1000</v>
      </c>
      <c r="O15" s="16">
        <f t="shared" si="19"/>
        <v>1217.1665999999998</v>
      </c>
      <c r="P15" s="10">
        <v>6</v>
      </c>
    </row>
    <row r="16" spans="1:16" ht="12.75">
      <c r="A16" s="10">
        <v>172</v>
      </c>
      <c r="B16" s="10">
        <v>150</v>
      </c>
      <c r="C16" s="38">
        <v>3</v>
      </c>
      <c r="D16" s="15">
        <v>1</v>
      </c>
      <c r="E16" s="12">
        <f t="shared" si="10"/>
        <v>74.27220746979816</v>
      </c>
      <c r="F16" s="13">
        <f t="shared" si="11"/>
        <v>0.01960159449213554</v>
      </c>
      <c r="G16" s="16">
        <f t="shared" si="12"/>
        <v>181411.79986666667</v>
      </c>
      <c r="H16" s="12">
        <f t="shared" si="13"/>
        <v>7.8068888888888885</v>
      </c>
      <c r="I16" s="12">
        <f t="shared" si="14"/>
        <v>69.80204990824544</v>
      </c>
      <c r="J16" s="12">
        <f t="shared" si="15"/>
        <v>70.262</v>
      </c>
      <c r="K16" s="16">
        <f t="shared" si="16"/>
        <v>2487.0747258634724</v>
      </c>
      <c r="L16" s="16">
        <f t="shared" si="17"/>
        <v>1119.1836266385626</v>
      </c>
      <c r="M16" s="31">
        <f t="shared" si="18"/>
        <v>56.40685478258356</v>
      </c>
      <c r="N16" s="15">
        <v>1000</v>
      </c>
      <c r="O16" s="16">
        <f t="shared" si="19"/>
        <v>1342.0042</v>
      </c>
      <c r="P16" s="10">
        <v>6</v>
      </c>
    </row>
    <row r="17" spans="1:16" ht="12.75">
      <c r="A17" s="10">
        <v>198</v>
      </c>
      <c r="B17" s="10">
        <v>200</v>
      </c>
      <c r="C17" s="38">
        <v>3</v>
      </c>
      <c r="D17" s="15">
        <v>1</v>
      </c>
      <c r="E17" s="12">
        <f t="shared" si="10"/>
        <v>97.27914134378364</v>
      </c>
      <c r="F17" s="13">
        <f t="shared" si="11"/>
        <v>0.019373643790319677</v>
      </c>
      <c r="G17" s="16">
        <f t="shared" si="12"/>
        <v>208834.51380000002</v>
      </c>
      <c r="H17" s="12">
        <f t="shared" si="13"/>
        <v>8.987</v>
      </c>
      <c r="I17" s="12">
        <f t="shared" si="14"/>
        <v>81.29612565147838</v>
      </c>
      <c r="J17" s="12">
        <f t="shared" si="15"/>
        <v>80.883</v>
      </c>
      <c r="K17" s="16">
        <f t="shared" si="16"/>
        <v>3794.0151801580378</v>
      </c>
      <c r="L17" s="16">
        <f t="shared" si="17"/>
        <v>1707.3068310711171</v>
      </c>
      <c r="M17" s="31">
        <f t="shared" si="18"/>
        <v>86.0482642859843</v>
      </c>
      <c r="N17" s="15">
        <v>1000</v>
      </c>
      <c r="O17" s="16">
        <f t="shared" si="19"/>
        <v>1544.8652999999997</v>
      </c>
      <c r="P17" s="10">
        <v>6</v>
      </c>
    </row>
    <row r="18" spans="1:16" ht="12.75">
      <c r="A18" s="10"/>
      <c r="B18" s="10"/>
      <c r="C18" s="38"/>
      <c r="D18" s="15"/>
      <c r="E18" s="12"/>
      <c r="F18" s="10"/>
      <c r="G18" s="10"/>
      <c r="H18" s="12"/>
      <c r="I18" s="12"/>
      <c r="J18" s="12"/>
      <c r="K18" s="16"/>
      <c r="L18" s="16"/>
      <c r="M18" s="16"/>
      <c r="N18" s="15"/>
      <c r="O18" s="10"/>
      <c r="P18" s="10"/>
    </row>
    <row r="19" spans="1:16" ht="12.75">
      <c r="A19" s="10"/>
      <c r="B19" s="10"/>
      <c r="C19" s="38"/>
      <c r="D19" s="15"/>
      <c r="E19" s="12"/>
      <c r="F19" s="10"/>
      <c r="G19" s="10"/>
      <c r="H19" s="10"/>
      <c r="I19" s="10"/>
      <c r="J19" s="10"/>
      <c r="K19" s="16"/>
      <c r="L19" s="16"/>
      <c r="M19" s="16"/>
      <c r="N19" s="15"/>
      <c r="O19" s="10"/>
      <c r="P19" s="10"/>
    </row>
    <row r="20" spans="1:16" ht="12.75">
      <c r="A20" s="9" t="s">
        <v>22</v>
      </c>
      <c r="B20" s="10"/>
      <c r="C20" s="38"/>
      <c r="D20" s="15"/>
      <c r="E20" s="12"/>
      <c r="F20" s="12"/>
      <c r="G20" s="12"/>
      <c r="H20" s="12"/>
      <c r="I20" s="12"/>
      <c r="J20" s="12"/>
      <c r="K20" s="16"/>
      <c r="L20" s="16"/>
      <c r="M20" s="16"/>
      <c r="N20" s="15"/>
      <c r="O20" s="10"/>
      <c r="P20" s="10"/>
    </row>
    <row r="21" spans="1:16" ht="38.25">
      <c r="A21" s="9" t="s">
        <v>0</v>
      </c>
      <c r="B21" s="17" t="s">
        <v>18</v>
      </c>
      <c r="C21" s="24" t="s">
        <v>14</v>
      </c>
      <c r="D21" s="17" t="s">
        <v>13</v>
      </c>
      <c r="E21" s="23" t="s">
        <v>12</v>
      </c>
      <c r="F21" s="19" t="s">
        <v>1</v>
      </c>
      <c r="G21" s="20" t="s">
        <v>2</v>
      </c>
      <c r="H21" s="18" t="s">
        <v>11</v>
      </c>
      <c r="I21" s="17" t="s">
        <v>10</v>
      </c>
      <c r="J21" s="18" t="s">
        <v>9</v>
      </c>
      <c r="K21" s="24" t="s">
        <v>38</v>
      </c>
      <c r="L21" s="24" t="s">
        <v>40</v>
      </c>
      <c r="M21" s="22" t="s">
        <v>7</v>
      </c>
      <c r="N21" s="18" t="s">
        <v>8</v>
      </c>
      <c r="O21" s="20" t="s">
        <v>3</v>
      </c>
      <c r="P21" s="9" t="s">
        <v>4</v>
      </c>
    </row>
    <row r="22" spans="1:16" ht="12.75">
      <c r="A22" s="10">
        <v>175</v>
      </c>
      <c r="B22" s="10">
        <v>50</v>
      </c>
      <c r="C22" s="38">
        <v>4</v>
      </c>
      <c r="D22" s="15">
        <v>1.25</v>
      </c>
      <c r="E22" s="12">
        <f aca="true" t="shared" si="20" ref="E22:E27">1200*F22*H22^2/C22/2/32.17*N22/100</f>
        <v>18.056236211400762</v>
      </c>
      <c r="F22" s="13">
        <f aca="true" t="shared" si="21" ref="F22:F27">LOG((0.00015*12/C22/3.7)+5.74/G22^0.9)^-2*0.25</f>
        <v>0.01939843864714869</v>
      </c>
      <c r="G22" s="16">
        <f aca="true" t="shared" si="22" ref="G22:G27">7745.8*H22*C22/1</f>
        <v>138431.969375</v>
      </c>
      <c r="H22" s="12">
        <f aca="true" t="shared" si="23" ref="H22:H27">0.4085*A22/C22^2</f>
        <v>4.46796875</v>
      </c>
      <c r="I22" s="12">
        <f aca="true" t="shared" si="24" ref="I22:I27">(64.34*(B22-E22))^0.5</f>
        <v>45.33499489531762</v>
      </c>
      <c r="J22" s="12">
        <f aca="true" t="shared" si="25" ref="J22:J27">0.4085*A22/D22^2</f>
        <v>45.751999999999995</v>
      </c>
      <c r="K22" s="16">
        <f aca="true" t="shared" si="26" ref="K22:K27">0.000002929*A22*J22^2*1000</f>
        <v>1072.9453142127995</v>
      </c>
      <c r="L22" s="16">
        <f aca="true" t="shared" si="27" ref="L22:L27">0.9*0.5*K22</f>
        <v>482.8253913957598</v>
      </c>
      <c r="M22" s="31">
        <f aca="true" t="shared" si="28" ref="M22:M27">L22*0.07*24*30/1000</f>
        <v>24.3343997263463</v>
      </c>
      <c r="N22" s="15">
        <v>1000</v>
      </c>
      <c r="O22" s="16">
        <f aca="true" t="shared" si="29" ref="O22:O27">0.5*229.2*J22/P22</f>
        <v>1310.7948</v>
      </c>
      <c r="P22" s="10">
        <v>4</v>
      </c>
    </row>
    <row r="23" spans="1:16" ht="12.75">
      <c r="A23" s="10">
        <v>213</v>
      </c>
      <c r="B23" s="10">
        <v>75</v>
      </c>
      <c r="C23" s="38">
        <v>4</v>
      </c>
      <c r="D23" s="15">
        <v>1.25</v>
      </c>
      <c r="E23" s="12">
        <f t="shared" si="20"/>
        <v>26.180575264691782</v>
      </c>
      <c r="F23" s="13">
        <f t="shared" si="21"/>
        <v>0.018986093863021768</v>
      </c>
      <c r="G23" s="16">
        <f t="shared" si="22"/>
        <v>168491.48272499998</v>
      </c>
      <c r="H23" s="12">
        <f t="shared" si="23"/>
        <v>5.43815625</v>
      </c>
      <c r="I23" s="12">
        <f t="shared" si="24"/>
        <v>56.04499788089684</v>
      </c>
      <c r="J23" s="12">
        <f t="shared" si="25"/>
        <v>55.686719999999994</v>
      </c>
      <c r="K23" s="16">
        <f t="shared" si="26"/>
        <v>1934.649305113165</v>
      </c>
      <c r="L23" s="16">
        <f t="shared" si="27"/>
        <v>870.5921873009243</v>
      </c>
      <c r="M23" s="31">
        <f t="shared" si="28"/>
        <v>43.87784623996659</v>
      </c>
      <c r="N23" s="15">
        <v>1000</v>
      </c>
      <c r="O23" s="16">
        <f t="shared" si="29"/>
        <v>1595.4245279999998</v>
      </c>
      <c r="P23" s="10">
        <v>4</v>
      </c>
    </row>
    <row r="24" spans="1:16" ht="12.75">
      <c r="A24" s="10">
        <v>247</v>
      </c>
      <c r="B24" s="10">
        <v>100</v>
      </c>
      <c r="C24" s="38">
        <v>4</v>
      </c>
      <c r="D24" s="15">
        <v>1.25</v>
      </c>
      <c r="E24" s="12">
        <f t="shared" si="20"/>
        <v>34.68799907934986</v>
      </c>
      <c r="F24" s="13">
        <f t="shared" si="21"/>
        <v>0.018706863956457435</v>
      </c>
      <c r="G24" s="16">
        <f t="shared" si="22"/>
        <v>195386.83677499997</v>
      </c>
      <c r="H24" s="12">
        <f t="shared" si="23"/>
        <v>6.306218749999999</v>
      </c>
      <c r="I24" s="12">
        <f t="shared" si="24"/>
        <v>64.82417866224478</v>
      </c>
      <c r="J24" s="12">
        <f t="shared" si="25"/>
        <v>64.57567999999999</v>
      </c>
      <c r="K24" s="16">
        <f t="shared" si="26"/>
        <v>3016.8540560564898</v>
      </c>
      <c r="L24" s="16">
        <f t="shared" si="27"/>
        <v>1357.5843252254203</v>
      </c>
      <c r="M24" s="31">
        <f t="shared" si="28"/>
        <v>68.42224999136118</v>
      </c>
      <c r="N24" s="15">
        <v>1000</v>
      </c>
      <c r="O24" s="16">
        <f t="shared" si="29"/>
        <v>1233.395488</v>
      </c>
      <c r="P24" s="10">
        <v>6</v>
      </c>
    </row>
    <row r="25" spans="1:16" ht="12.75">
      <c r="A25" s="10">
        <v>278</v>
      </c>
      <c r="B25" s="10">
        <v>125</v>
      </c>
      <c r="C25" s="38">
        <v>4</v>
      </c>
      <c r="D25" s="15">
        <v>1.25</v>
      </c>
      <c r="E25" s="12">
        <f t="shared" si="20"/>
        <v>43.460600931014596</v>
      </c>
      <c r="F25" s="13">
        <f t="shared" si="21"/>
        <v>0.018502132238143627</v>
      </c>
      <c r="G25" s="16">
        <f t="shared" si="22"/>
        <v>219909.07134999998</v>
      </c>
      <c r="H25" s="12">
        <f t="shared" si="23"/>
        <v>7.097687499999999</v>
      </c>
      <c r="I25" s="12">
        <f t="shared" si="24"/>
        <v>72.43096669311076</v>
      </c>
      <c r="J25" s="12">
        <f t="shared" si="25"/>
        <v>72.68032</v>
      </c>
      <c r="K25" s="16">
        <f t="shared" si="26"/>
        <v>4301.281133431962</v>
      </c>
      <c r="L25" s="16">
        <f t="shared" si="27"/>
        <v>1935.576510044383</v>
      </c>
      <c r="M25" s="31">
        <f t="shared" si="28"/>
        <v>97.5530561062369</v>
      </c>
      <c r="N25" s="15">
        <v>1000</v>
      </c>
      <c r="O25" s="16">
        <f t="shared" si="29"/>
        <v>1388.194112</v>
      </c>
      <c r="P25" s="10">
        <v>6</v>
      </c>
    </row>
    <row r="26" spans="1:16" ht="12.75">
      <c r="A26" s="10">
        <v>305</v>
      </c>
      <c r="B26" s="10">
        <v>150</v>
      </c>
      <c r="C26" s="38">
        <v>4</v>
      </c>
      <c r="D26" s="15">
        <v>1.25</v>
      </c>
      <c r="E26" s="12">
        <f t="shared" si="20"/>
        <v>51.88897333828624</v>
      </c>
      <c r="F26" s="13">
        <f t="shared" si="21"/>
        <v>0.01835232302044053</v>
      </c>
      <c r="G26" s="16">
        <f t="shared" si="22"/>
        <v>241267.146625</v>
      </c>
      <c r="H26" s="12">
        <f t="shared" si="23"/>
        <v>7.787031249999999</v>
      </c>
      <c r="I26" s="12">
        <f t="shared" si="24"/>
        <v>79.45101292881459</v>
      </c>
      <c r="J26" s="12">
        <f t="shared" si="25"/>
        <v>79.7392</v>
      </c>
      <c r="K26" s="16">
        <f t="shared" si="26"/>
        <v>5680.19126216526</v>
      </c>
      <c r="L26" s="16">
        <f t="shared" si="27"/>
        <v>2556.086067974367</v>
      </c>
      <c r="M26" s="31">
        <f t="shared" si="28"/>
        <v>128.8267378259081</v>
      </c>
      <c r="N26" s="15">
        <v>1000</v>
      </c>
      <c r="O26" s="16">
        <f t="shared" si="29"/>
        <v>1523.0187199999998</v>
      </c>
      <c r="P26" s="10">
        <v>6</v>
      </c>
    </row>
    <row r="27" spans="1:16" ht="12.75">
      <c r="A27" s="10">
        <v>351</v>
      </c>
      <c r="B27" s="10">
        <v>200</v>
      </c>
      <c r="C27" s="38">
        <v>4</v>
      </c>
      <c r="D27" s="15">
        <v>1.25</v>
      </c>
      <c r="E27" s="12">
        <f t="shared" si="20"/>
        <v>67.93431493561343</v>
      </c>
      <c r="F27" s="13">
        <f t="shared" si="21"/>
        <v>0.018142227672134463</v>
      </c>
      <c r="G27" s="16">
        <f t="shared" si="22"/>
        <v>277654.978575</v>
      </c>
      <c r="H27" s="12">
        <f t="shared" si="23"/>
        <v>8.96146875</v>
      </c>
      <c r="I27" s="12">
        <f t="shared" si="24"/>
        <v>92.17974927847565</v>
      </c>
      <c r="J27" s="12">
        <f t="shared" si="25"/>
        <v>91.76544</v>
      </c>
      <c r="K27" s="16">
        <f t="shared" si="26"/>
        <v>8657.346316570913</v>
      </c>
      <c r="L27" s="16">
        <f t="shared" si="27"/>
        <v>3895.805842456911</v>
      </c>
      <c r="M27" s="31">
        <f t="shared" si="28"/>
        <v>196.3486144598283</v>
      </c>
      <c r="N27" s="15">
        <v>1000</v>
      </c>
      <c r="O27" s="16">
        <f t="shared" si="29"/>
        <v>1752.7199039999998</v>
      </c>
      <c r="P27" s="10">
        <v>6</v>
      </c>
    </row>
    <row r="28" spans="1:16" ht="12.75">
      <c r="A28" s="10"/>
      <c r="B28" s="10"/>
      <c r="C28" s="38"/>
      <c r="D28" s="15"/>
      <c r="E28" s="12"/>
      <c r="F28" s="10"/>
      <c r="G28" s="10"/>
      <c r="H28" s="10"/>
      <c r="I28" s="10"/>
      <c r="J28" s="10"/>
      <c r="K28" s="16"/>
      <c r="L28" s="16"/>
      <c r="M28" s="16"/>
      <c r="N28" s="15"/>
      <c r="O28" s="10"/>
      <c r="P28" s="10"/>
    </row>
    <row r="29" spans="1:16" ht="12.75">
      <c r="A29" s="10"/>
      <c r="B29" s="10"/>
      <c r="C29" s="38"/>
      <c r="D29" s="15"/>
      <c r="E29" s="12"/>
      <c r="F29" s="10"/>
      <c r="G29" s="10"/>
      <c r="H29" s="10"/>
      <c r="I29" s="10"/>
      <c r="J29" s="10"/>
      <c r="K29" s="16"/>
      <c r="L29" s="16"/>
      <c r="M29" s="16"/>
      <c r="N29" s="15"/>
      <c r="O29" s="10"/>
      <c r="P29" s="10"/>
    </row>
    <row r="30" spans="1:16" ht="12.75">
      <c r="A30" s="9" t="s">
        <v>23</v>
      </c>
      <c r="B30" s="10"/>
      <c r="C30" s="38"/>
      <c r="D30" s="15"/>
      <c r="E30" s="12"/>
      <c r="F30" s="12"/>
      <c r="G30" s="12"/>
      <c r="H30" s="12"/>
      <c r="I30" s="12"/>
      <c r="J30" s="12"/>
      <c r="K30" s="16"/>
      <c r="L30" s="16"/>
      <c r="M30" s="16"/>
      <c r="N30" s="15"/>
      <c r="O30" s="10"/>
      <c r="P30" s="10"/>
    </row>
    <row r="31" spans="1:16" ht="38.25">
      <c r="A31" s="9" t="s">
        <v>0</v>
      </c>
      <c r="B31" s="17" t="s">
        <v>18</v>
      </c>
      <c r="C31" s="24" t="s">
        <v>14</v>
      </c>
      <c r="D31" s="17" t="s">
        <v>13</v>
      </c>
      <c r="E31" s="23" t="s">
        <v>12</v>
      </c>
      <c r="F31" s="19" t="s">
        <v>1</v>
      </c>
      <c r="G31" s="20" t="s">
        <v>2</v>
      </c>
      <c r="H31" s="18" t="s">
        <v>11</v>
      </c>
      <c r="I31" s="17" t="s">
        <v>10</v>
      </c>
      <c r="J31" s="18" t="s">
        <v>9</v>
      </c>
      <c r="K31" s="24" t="s">
        <v>38</v>
      </c>
      <c r="L31" s="24" t="s">
        <v>40</v>
      </c>
      <c r="M31" s="22" t="s">
        <v>7</v>
      </c>
      <c r="N31" s="18" t="s">
        <v>8</v>
      </c>
      <c r="O31" s="20" t="s">
        <v>3</v>
      </c>
      <c r="P31" s="9" t="s">
        <v>4</v>
      </c>
    </row>
    <row r="32" spans="1:16" ht="12.75">
      <c r="A32" s="10">
        <v>290</v>
      </c>
      <c r="B32" s="10">
        <v>50</v>
      </c>
      <c r="C32" s="38">
        <v>6</v>
      </c>
      <c r="D32" s="15">
        <v>1.5</v>
      </c>
      <c r="E32" s="12">
        <f aca="true" t="shared" si="30" ref="E32:E37">1200*F32*H32^2/C32/2/32.17*N32/100</f>
        <v>6.185636199968697</v>
      </c>
      <c r="F32" s="13">
        <f aca="true" t="shared" si="31" ref="F32:F37">LOG((0.00015*12/C32/3.7)+5.74/G32^0.9)^-2*0.25</f>
        <v>0.0183763950605225</v>
      </c>
      <c r="G32" s="16">
        <f aca="true" t="shared" si="32" ref="G32:G37">7745.8*H32*C32/1</f>
        <v>152934.36616666667</v>
      </c>
      <c r="H32" s="12">
        <f aca="true" t="shared" si="33" ref="H32:H37">0.4085*A32/C32^2</f>
        <v>3.290694444444444</v>
      </c>
      <c r="I32" s="12">
        <f aca="true" t="shared" si="34" ref="I32:I37">(64.34*(B32-E32))^0.5</f>
        <v>53.0944080567249</v>
      </c>
      <c r="J32" s="12">
        <f aca="true" t="shared" si="35" ref="J32:J37">0.4085*A32/D32^2</f>
        <v>52.651111111111106</v>
      </c>
      <c r="K32" s="16">
        <f aca="true" t="shared" si="36" ref="K32:K37">0.000002929*A32*J32^2*1000</f>
        <v>2354.6830137436536</v>
      </c>
      <c r="L32" s="16">
        <f aca="true" t="shared" si="37" ref="L32:L37">0.9*0.5*K32</f>
        <v>1059.6073561846442</v>
      </c>
      <c r="M32" s="31">
        <f aca="true" t="shared" si="38" ref="M32:M37">L32*0.07*24*30/1000</f>
        <v>53.404210751706074</v>
      </c>
      <c r="N32" s="15">
        <v>1000</v>
      </c>
      <c r="O32" s="16">
        <f aca="true" t="shared" si="39" ref="O32:O37">0.5*229.2*J32/P32</f>
        <v>1005.636222222222</v>
      </c>
      <c r="P32" s="10">
        <v>6</v>
      </c>
    </row>
    <row r="33" spans="1:16" ht="12.75">
      <c r="A33" s="10">
        <v>360</v>
      </c>
      <c r="B33" s="10">
        <v>75</v>
      </c>
      <c r="C33" s="38">
        <v>6</v>
      </c>
      <c r="D33" s="15">
        <v>1.5</v>
      </c>
      <c r="E33" s="12">
        <f t="shared" si="30"/>
        <v>9.283478782758479</v>
      </c>
      <c r="F33" s="13">
        <f t="shared" si="31"/>
        <v>0.017896894926588473</v>
      </c>
      <c r="G33" s="16">
        <f t="shared" si="32"/>
        <v>189849.55800000002</v>
      </c>
      <c r="H33" s="12">
        <f t="shared" si="33"/>
        <v>4.085</v>
      </c>
      <c r="I33" s="12">
        <f t="shared" si="34"/>
        <v>65.02461822354145</v>
      </c>
      <c r="J33" s="12">
        <f t="shared" si="35"/>
        <v>65.36</v>
      </c>
      <c r="K33" s="16">
        <f t="shared" si="36"/>
        <v>4504.493447423999</v>
      </c>
      <c r="L33" s="16">
        <f t="shared" si="37"/>
        <v>2027.0220513407996</v>
      </c>
      <c r="M33" s="31">
        <f t="shared" si="38"/>
        <v>102.16191138757631</v>
      </c>
      <c r="N33" s="15">
        <v>1000</v>
      </c>
      <c r="O33" s="16">
        <f t="shared" si="39"/>
        <v>1248.376</v>
      </c>
      <c r="P33" s="10">
        <v>6</v>
      </c>
    </row>
    <row r="34" spans="1:16" ht="12.75">
      <c r="A34" s="10">
        <v>415</v>
      </c>
      <c r="B34" s="10">
        <v>100</v>
      </c>
      <c r="C34" s="38">
        <v>6</v>
      </c>
      <c r="D34" s="15">
        <v>1.5</v>
      </c>
      <c r="E34" s="12">
        <f t="shared" si="30"/>
        <v>12.140635006427864</v>
      </c>
      <c r="F34" s="13">
        <f t="shared" si="31"/>
        <v>0.017612343620346395</v>
      </c>
      <c r="G34" s="16">
        <f t="shared" si="32"/>
        <v>218854.3515833334</v>
      </c>
      <c r="H34" s="12">
        <f t="shared" si="33"/>
        <v>4.709097222222223</v>
      </c>
      <c r="I34" s="12">
        <f t="shared" si="34"/>
        <v>75.18558068995964</v>
      </c>
      <c r="J34" s="12">
        <f t="shared" si="35"/>
        <v>75.34555555555556</v>
      </c>
      <c r="K34" s="16">
        <f t="shared" si="36"/>
        <v>6900.534751216957</v>
      </c>
      <c r="L34" s="16">
        <f t="shared" si="37"/>
        <v>3105.240638047631</v>
      </c>
      <c r="M34" s="31">
        <f t="shared" si="38"/>
        <v>156.5041281576006</v>
      </c>
      <c r="N34" s="15">
        <v>1000</v>
      </c>
      <c r="O34" s="16">
        <f t="shared" si="39"/>
        <v>1439.1001111111111</v>
      </c>
      <c r="P34" s="10">
        <v>6</v>
      </c>
    </row>
    <row r="35" spans="1:16" ht="12.75">
      <c r="A35" s="10">
        <v>464</v>
      </c>
      <c r="B35" s="10">
        <v>125</v>
      </c>
      <c r="C35" s="38">
        <v>6</v>
      </c>
      <c r="D35" s="15">
        <v>1.5</v>
      </c>
      <c r="E35" s="12">
        <f t="shared" si="30"/>
        <v>14.99824272535301</v>
      </c>
      <c r="F35" s="13">
        <f t="shared" si="31"/>
        <v>0.017405093367766262</v>
      </c>
      <c r="G35" s="16">
        <f t="shared" si="32"/>
        <v>244694.98586666666</v>
      </c>
      <c r="H35" s="12">
        <f t="shared" si="33"/>
        <v>5.265111111111111</v>
      </c>
      <c r="I35" s="12">
        <f t="shared" si="34"/>
        <v>84.12795648921224</v>
      </c>
      <c r="J35" s="12">
        <f t="shared" si="35"/>
        <v>84.24177777777777</v>
      </c>
      <c r="K35" s="16">
        <f t="shared" si="36"/>
        <v>9644.781624294006</v>
      </c>
      <c r="L35" s="16">
        <f t="shared" si="37"/>
        <v>4340.151730932303</v>
      </c>
      <c r="M35" s="31">
        <f t="shared" si="38"/>
        <v>218.7436472389881</v>
      </c>
      <c r="N35" s="15">
        <v>1000</v>
      </c>
      <c r="O35" s="16">
        <f t="shared" si="39"/>
        <v>1609.0179555555553</v>
      </c>
      <c r="P35" s="10">
        <v>6</v>
      </c>
    </row>
    <row r="36" spans="1:16" ht="12.75">
      <c r="A36" s="10">
        <v>510</v>
      </c>
      <c r="B36" s="10">
        <v>150</v>
      </c>
      <c r="C36" s="38">
        <v>6</v>
      </c>
      <c r="D36" s="15">
        <v>1.5</v>
      </c>
      <c r="E36" s="12">
        <f t="shared" si="30"/>
        <v>17.947737822307985</v>
      </c>
      <c r="F36" s="13">
        <f t="shared" si="31"/>
        <v>0.017240160526437422</v>
      </c>
      <c r="G36" s="16">
        <f t="shared" si="32"/>
        <v>268953.5405</v>
      </c>
      <c r="H36" s="12">
        <f t="shared" si="33"/>
        <v>5.7870833333333325</v>
      </c>
      <c r="I36" s="12">
        <f t="shared" si="34"/>
        <v>92.1750646786467</v>
      </c>
      <c r="J36" s="12">
        <f t="shared" si="35"/>
        <v>92.59333333333332</v>
      </c>
      <c r="K36" s="16">
        <f t="shared" si="36"/>
        <v>12807.04647407066</v>
      </c>
      <c r="L36" s="16">
        <f t="shared" si="37"/>
        <v>5763.170913331797</v>
      </c>
      <c r="M36" s="31">
        <f t="shared" si="38"/>
        <v>290.4638140319226</v>
      </c>
      <c r="N36" s="15">
        <v>1000</v>
      </c>
      <c r="O36" s="16">
        <f t="shared" si="39"/>
        <v>1768.5326666666663</v>
      </c>
      <c r="P36" s="10">
        <v>6</v>
      </c>
    </row>
    <row r="37" spans="1:16" ht="12.75">
      <c r="A37" s="10">
        <v>585</v>
      </c>
      <c r="B37" s="10">
        <v>200</v>
      </c>
      <c r="C37" s="38">
        <v>6</v>
      </c>
      <c r="D37" s="15">
        <v>1.5</v>
      </c>
      <c r="E37" s="12">
        <f t="shared" si="30"/>
        <v>23.309335730814713</v>
      </c>
      <c r="F37" s="13">
        <f t="shared" si="31"/>
        <v>0.01701727847083811</v>
      </c>
      <c r="G37" s="16">
        <f t="shared" si="32"/>
        <v>308505.53174999997</v>
      </c>
      <c r="H37" s="12">
        <f t="shared" si="33"/>
        <v>6.638125</v>
      </c>
      <c r="I37" s="12">
        <f t="shared" si="34"/>
        <v>106.6221240600626</v>
      </c>
      <c r="J37" s="12">
        <f t="shared" si="35"/>
        <v>106.21</v>
      </c>
      <c r="K37" s="16">
        <f t="shared" si="36"/>
        <v>19328.851765606494</v>
      </c>
      <c r="L37" s="16">
        <f t="shared" si="37"/>
        <v>8697.983294522923</v>
      </c>
      <c r="M37" s="31">
        <f t="shared" si="38"/>
        <v>438.37835804395536</v>
      </c>
      <c r="N37" s="15">
        <v>1000</v>
      </c>
      <c r="O37" s="16">
        <f t="shared" si="39"/>
        <v>2028.6109999999999</v>
      </c>
      <c r="P37" s="10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M12">
      <selection activeCell="AF18" sqref="AF1:AF16384"/>
    </sheetView>
  </sheetViews>
  <sheetFormatPr defaultColWidth="9.140625" defaultRowHeight="12.75"/>
  <cols>
    <col min="1" max="1" width="11.57421875" style="0" customWidth="1"/>
    <col min="2" max="2" width="8.00390625" style="0" customWidth="1"/>
    <col min="3" max="3" width="8.7109375" style="40" customWidth="1"/>
    <col min="4" max="4" width="8.421875" style="7" customWidth="1"/>
    <col min="5" max="5" width="6.8515625" style="1" customWidth="1"/>
    <col min="6" max="7" width="2.421875" style="0" customWidth="1"/>
    <col min="8" max="8" width="12.7109375" style="0" customWidth="1"/>
    <col min="9" max="9" width="16.140625" style="0" customWidth="1"/>
    <col min="10" max="10" width="13.00390625" style="0" customWidth="1"/>
    <col min="11" max="11" width="12.28125" style="5" customWidth="1"/>
    <col min="12" max="12" width="12.57421875" style="5" customWidth="1"/>
    <col min="13" max="13" width="11.7109375" style="0" customWidth="1"/>
    <col min="14" max="14" width="11.421875" style="7" customWidth="1"/>
    <col min="15" max="15" width="12.57421875" style="0" customWidth="1"/>
  </cols>
  <sheetData>
    <row r="1" spans="1:17" ht="12.75">
      <c r="A1" s="9" t="s">
        <v>20</v>
      </c>
      <c r="B1" s="28"/>
      <c r="C1" s="41"/>
      <c r="D1" s="29"/>
      <c r="E1" s="30"/>
      <c r="F1" s="30"/>
      <c r="G1" s="30"/>
      <c r="H1" s="30"/>
      <c r="I1" s="30"/>
      <c r="J1" s="30"/>
      <c r="K1" s="32"/>
      <c r="L1" s="32"/>
      <c r="M1" s="31"/>
      <c r="N1" s="29"/>
      <c r="O1" s="28"/>
      <c r="P1" s="28"/>
      <c r="Q1" s="10"/>
    </row>
    <row r="2" spans="1:17" ht="38.25">
      <c r="A2" s="9" t="s">
        <v>0</v>
      </c>
      <c r="B2" s="17" t="s">
        <v>18</v>
      </c>
      <c r="C2" s="24" t="s">
        <v>14</v>
      </c>
      <c r="D2" s="17" t="s">
        <v>13</v>
      </c>
      <c r="E2" s="9" t="s">
        <v>12</v>
      </c>
      <c r="F2" s="19" t="s">
        <v>1</v>
      </c>
      <c r="G2" s="20" t="s">
        <v>2</v>
      </c>
      <c r="H2" s="18" t="s">
        <v>11</v>
      </c>
      <c r="I2" s="17" t="s">
        <v>10</v>
      </c>
      <c r="J2" s="18" t="s">
        <v>9</v>
      </c>
      <c r="K2" s="24" t="s">
        <v>38</v>
      </c>
      <c r="L2" s="24" t="s">
        <v>40</v>
      </c>
      <c r="M2" s="22" t="s">
        <v>7</v>
      </c>
      <c r="N2" s="18" t="s">
        <v>8</v>
      </c>
      <c r="O2" s="20" t="s">
        <v>3</v>
      </c>
      <c r="P2" s="9" t="s">
        <v>4</v>
      </c>
      <c r="Q2" s="10"/>
    </row>
    <row r="3" spans="1:17" ht="12.75">
      <c r="A3" s="28">
        <v>17</v>
      </c>
      <c r="B3" s="28">
        <v>50</v>
      </c>
      <c r="C3" s="41">
        <v>2</v>
      </c>
      <c r="D3" s="29">
        <v>0.375</v>
      </c>
      <c r="E3" s="30">
        <f aca="true" t="shared" si="0" ref="E3:E8">1200*F3*H3^2/C3/2/32.17*N3/100</f>
        <v>14.831610205587625</v>
      </c>
      <c r="F3" s="27">
        <f aca="true" t="shared" si="1" ref="F3:F8">LOG((0.00015*12/C3/3.7)+5.74/G3^0.9)^-2*0.25</f>
        <v>0.026383118724161228</v>
      </c>
      <c r="G3" s="32">
        <f aca="true" t="shared" si="2" ref="G3:G8">7745.8*H3*C3/1</f>
        <v>26895.354049999998</v>
      </c>
      <c r="H3" s="30">
        <f aca="true" t="shared" si="3" ref="H3:H8">0.4085*A3/C3^2</f>
        <v>1.736125</v>
      </c>
      <c r="I3" s="30">
        <f aca="true" t="shared" si="4" ref="I3:I8">(64.34*(B3-E3))^0.5</f>
        <v>47.568205761543</v>
      </c>
      <c r="J3" s="30">
        <f aca="true" t="shared" si="5" ref="J3:J8">0.4085*A3/D3^2</f>
        <v>49.383111111111106</v>
      </c>
      <c r="K3" s="32">
        <f aca="true" t="shared" si="6" ref="K3:K8">0.000002929*A3*J3^2*1000</f>
        <v>121.4297739763737</v>
      </c>
      <c r="L3" s="32">
        <f aca="true" t="shared" si="7" ref="L3:L8">0.9*0.5*K3</f>
        <v>54.643398289368164</v>
      </c>
      <c r="M3" s="31">
        <f aca="true" t="shared" si="8" ref="M3:M8">L3*0.07*24*30/1000</f>
        <v>2.7540272737841556</v>
      </c>
      <c r="N3" s="29">
        <v>2000</v>
      </c>
      <c r="O3" s="32">
        <f aca="true" t="shared" si="9" ref="O3:O8">0.5*229.2*J3/P3</f>
        <v>1414.826133333333</v>
      </c>
      <c r="P3" s="28">
        <v>4</v>
      </c>
      <c r="Q3" s="10"/>
    </row>
    <row r="4" spans="1:17" ht="12.75">
      <c r="A4" s="28">
        <v>20</v>
      </c>
      <c r="B4" s="28">
        <v>75</v>
      </c>
      <c r="C4" s="41">
        <v>2</v>
      </c>
      <c r="D4" s="29">
        <v>0.375</v>
      </c>
      <c r="E4" s="30">
        <f t="shared" si="0"/>
        <v>19.953143883154965</v>
      </c>
      <c r="F4" s="27">
        <f t="shared" si="1"/>
        <v>0.025644073584077852</v>
      </c>
      <c r="G4" s="32">
        <f t="shared" si="2"/>
        <v>31641.593</v>
      </c>
      <c r="H4" s="30">
        <f t="shared" si="3"/>
        <v>2.0425</v>
      </c>
      <c r="I4" s="30">
        <f t="shared" si="4"/>
        <v>59.51230732006456</v>
      </c>
      <c r="J4" s="30">
        <f t="shared" si="5"/>
        <v>58.09777777777778</v>
      </c>
      <c r="K4" s="32">
        <f t="shared" si="6"/>
        <v>197.72810743150617</v>
      </c>
      <c r="L4" s="32">
        <f t="shared" si="7"/>
        <v>88.97764834417778</v>
      </c>
      <c r="M4" s="31">
        <f t="shared" si="8"/>
        <v>4.48447347654656</v>
      </c>
      <c r="N4" s="29">
        <v>2000</v>
      </c>
      <c r="O4" s="32">
        <f t="shared" si="9"/>
        <v>1109.6675555555555</v>
      </c>
      <c r="P4" s="28">
        <v>6</v>
      </c>
      <c r="Q4" s="10"/>
    </row>
    <row r="5" spans="1:17" ht="12.75">
      <c r="A5" s="28">
        <v>24</v>
      </c>
      <c r="B5" s="28">
        <v>100</v>
      </c>
      <c r="C5" s="41">
        <v>2</v>
      </c>
      <c r="D5" s="29">
        <v>0.375</v>
      </c>
      <c r="E5" s="30">
        <f t="shared" si="0"/>
        <v>27.886850127651552</v>
      </c>
      <c r="F5" s="27">
        <f t="shared" si="1"/>
        <v>0.02488929817865637</v>
      </c>
      <c r="G5" s="32">
        <f t="shared" si="2"/>
        <v>37969.91159999999</v>
      </c>
      <c r="H5" s="30">
        <f t="shared" si="3"/>
        <v>2.4509999999999996</v>
      </c>
      <c r="I5" s="30">
        <f t="shared" si="4"/>
        <v>68.11578424115</v>
      </c>
      <c r="J5" s="30">
        <f t="shared" si="5"/>
        <v>69.71733333333333</v>
      </c>
      <c r="K5" s="32">
        <f t="shared" si="6"/>
        <v>341.6741696416426</v>
      </c>
      <c r="L5" s="32">
        <f t="shared" si="7"/>
        <v>153.75337633873917</v>
      </c>
      <c r="M5" s="31">
        <f t="shared" si="8"/>
        <v>7.749170167472456</v>
      </c>
      <c r="N5" s="29">
        <v>2000</v>
      </c>
      <c r="O5" s="32">
        <f t="shared" si="9"/>
        <v>1331.6010666666664</v>
      </c>
      <c r="P5" s="28">
        <v>6</v>
      </c>
      <c r="Q5" s="10"/>
    </row>
    <row r="6" spans="1:17" ht="12.75">
      <c r="A6" s="28">
        <v>27</v>
      </c>
      <c r="B6" s="28">
        <v>125</v>
      </c>
      <c r="C6" s="41">
        <v>2</v>
      </c>
      <c r="D6" s="29">
        <v>0.375</v>
      </c>
      <c r="E6" s="30">
        <f t="shared" si="0"/>
        <v>34.658591487459965</v>
      </c>
      <c r="F6" s="27">
        <f t="shared" si="1"/>
        <v>0.02444100457288321</v>
      </c>
      <c r="G6" s="32">
        <f t="shared" si="2"/>
        <v>42716.15055</v>
      </c>
      <c r="H6" s="30">
        <f t="shared" si="3"/>
        <v>2.7573749999999997</v>
      </c>
      <c r="I6" s="30">
        <f t="shared" si="4"/>
        <v>76.24018772076067</v>
      </c>
      <c r="J6" s="30">
        <f t="shared" si="5"/>
        <v>78.43199999999999</v>
      </c>
      <c r="K6" s="32">
        <f t="shared" si="6"/>
        <v>486.4852923217918</v>
      </c>
      <c r="L6" s="32">
        <f t="shared" si="7"/>
        <v>218.91838154480632</v>
      </c>
      <c r="M6" s="31">
        <f t="shared" si="8"/>
        <v>11.033486429858241</v>
      </c>
      <c r="N6" s="29">
        <v>2000</v>
      </c>
      <c r="O6" s="32">
        <f t="shared" si="9"/>
        <v>1498.0511999999997</v>
      </c>
      <c r="P6" s="28">
        <v>6</v>
      </c>
      <c r="Q6" s="10"/>
    </row>
    <row r="7" spans="1:17" ht="12.75">
      <c r="A7" s="28">
        <v>29</v>
      </c>
      <c r="B7" s="28">
        <v>150</v>
      </c>
      <c r="C7" s="41">
        <v>2</v>
      </c>
      <c r="D7" s="29">
        <v>0.375</v>
      </c>
      <c r="E7" s="30">
        <f t="shared" si="0"/>
        <v>39.56184167541449</v>
      </c>
      <c r="F7" s="27">
        <f t="shared" si="1"/>
        <v>0.024183334122721518</v>
      </c>
      <c r="G7" s="32">
        <f t="shared" si="2"/>
        <v>45880.30985</v>
      </c>
      <c r="H7" s="30">
        <f t="shared" si="3"/>
        <v>2.9616249999999997</v>
      </c>
      <c r="I7" s="30">
        <f t="shared" si="4"/>
        <v>84.29466831658947</v>
      </c>
      <c r="J7" s="30">
        <f t="shared" si="5"/>
        <v>84.24177777777777</v>
      </c>
      <c r="K7" s="32">
        <f t="shared" si="6"/>
        <v>602.7988515183754</v>
      </c>
      <c r="L7" s="32">
        <f t="shared" si="7"/>
        <v>271.2594831832689</v>
      </c>
      <c r="M7" s="31">
        <f t="shared" si="8"/>
        <v>13.671477952436756</v>
      </c>
      <c r="N7" s="29">
        <v>2000</v>
      </c>
      <c r="O7" s="32">
        <f t="shared" si="9"/>
        <v>1206.7634666666665</v>
      </c>
      <c r="P7" s="28">
        <v>8</v>
      </c>
      <c r="Q7" s="10"/>
    </row>
    <row r="8" spans="1:17" ht="12.75">
      <c r="A8" s="28">
        <v>34</v>
      </c>
      <c r="B8" s="28">
        <v>200</v>
      </c>
      <c r="C8" s="41">
        <v>2</v>
      </c>
      <c r="D8" s="29">
        <v>0.375</v>
      </c>
      <c r="E8" s="30">
        <f t="shared" si="0"/>
        <v>53.173391850589624</v>
      </c>
      <c r="F8" s="27">
        <f t="shared" si="1"/>
        <v>0.02364679038072238</v>
      </c>
      <c r="G8" s="32">
        <f t="shared" si="2"/>
        <v>53790.708099999996</v>
      </c>
      <c r="H8" s="30">
        <f t="shared" si="3"/>
        <v>3.47225</v>
      </c>
      <c r="I8" s="30">
        <f t="shared" si="4"/>
        <v>97.19477335913216</v>
      </c>
      <c r="J8" s="30">
        <f t="shared" si="5"/>
        <v>98.76622222222221</v>
      </c>
      <c r="K8" s="32">
        <f t="shared" si="6"/>
        <v>971.4381918109896</v>
      </c>
      <c r="L8" s="32">
        <f t="shared" si="7"/>
        <v>437.1471863149453</v>
      </c>
      <c r="M8" s="31">
        <f t="shared" si="8"/>
        <v>22.032218190273245</v>
      </c>
      <c r="N8" s="29">
        <v>2000</v>
      </c>
      <c r="O8" s="32">
        <f t="shared" si="9"/>
        <v>1414.826133333333</v>
      </c>
      <c r="P8" s="28">
        <v>8</v>
      </c>
      <c r="Q8" s="10"/>
    </row>
    <row r="9" spans="1:17" ht="12.75">
      <c r="A9" s="10"/>
      <c r="B9" s="10"/>
      <c r="C9" s="38"/>
      <c r="D9" s="15"/>
      <c r="E9" s="12"/>
      <c r="F9" s="10"/>
      <c r="G9" s="10"/>
      <c r="H9" s="10"/>
      <c r="I9" s="10"/>
      <c r="J9" s="10"/>
      <c r="K9" s="16"/>
      <c r="L9" s="16"/>
      <c r="M9" s="10"/>
      <c r="N9" s="15"/>
      <c r="O9" s="10"/>
      <c r="P9" s="10"/>
      <c r="Q9" s="10"/>
    </row>
    <row r="10" spans="1:17" ht="12.75">
      <c r="A10" s="9" t="s">
        <v>21</v>
      </c>
      <c r="B10" s="28"/>
      <c r="C10" s="41"/>
      <c r="D10" s="29"/>
      <c r="E10" s="30"/>
      <c r="F10" s="30"/>
      <c r="G10" s="30"/>
      <c r="H10" s="30"/>
      <c r="I10" s="30"/>
      <c r="J10" s="30"/>
      <c r="K10" s="32"/>
      <c r="L10" s="32"/>
      <c r="M10" s="31"/>
      <c r="N10" s="29"/>
      <c r="O10" s="28"/>
      <c r="P10" s="28"/>
      <c r="Q10" s="10"/>
    </row>
    <row r="11" spans="1:17" ht="38.25">
      <c r="A11" s="9" t="s">
        <v>0</v>
      </c>
      <c r="B11" s="17" t="s">
        <v>18</v>
      </c>
      <c r="C11" s="24" t="s">
        <v>14</v>
      </c>
      <c r="D11" s="17" t="s">
        <v>13</v>
      </c>
      <c r="E11" s="9" t="s">
        <v>12</v>
      </c>
      <c r="F11" s="19" t="s">
        <v>1</v>
      </c>
      <c r="G11" s="20" t="s">
        <v>2</v>
      </c>
      <c r="H11" s="18" t="s">
        <v>11</v>
      </c>
      <c r="I11" s="17" t="s">
        <v>10</v>
      </c>
      <c r="J11" s="18" t="s">
        <v>9</v>
      </c>
      <c r="K11" s="24" t="s">
        <v>38</v>
      </c>
      <c r="L11" s="24" t="s">
        <v>40</v>
      </c>
      <c r="M11" s="22" t="s">
        <v>7</v>
      </c>
      <c r="N11" s="18" t="s">
        <v>8</v>
      </c>
      <c r="O11" s="20" t="s">
        <v>3</v>
      </c>
      <c r="P11" s="9" t="s">
        <v>4</v>
      </c>
      <c r="Q11" s="10"/>
    </row>
    <row r="12" spans="1:17" ht="12.75">
      <c r="A12" s="28">
        <v>60</v>
      </c>
      <c r="B12" s="28">
        <v>50</v>
      </c>
      <c r="C12" s="41">
        <v>3</v>
      </c>
      <c r="D12" s="29">
        <v>0.75</v>
      </c>
      <c r="E12" s="30">
        <f aca="true" t="shared" si="10" ref="E12:E17">1200*F12*H12^2/C12/2/32.17*N12/100</f>
        <v>20.41649990779147</v>
      </c>
      <c r="F12" s="27">
        <f aca="true" t="shared" si="11" ref="F12:F17">LOG((0.00015*12/C12/3.7)+5.74/G12^0.9)^-2*0.25</f>
        <v>0.022139650309978387</v>
      </c>
      <c r="G12" s="32">
        <f aca="true" t="shared" si="12" ref="G12:G17">7745.8*H12*C12/1</f>
        <v>63283.186</v>
      </c>
      <c r="H12" s="30">
        <f aca="true" t="shared" si="13" ref="H12:H17">0.4085*A12/C12^2</f>
        <v>2.723333333333333</v>
      </c>
      <c r="I12" s="30">
        <f aca="true" t="shared" si="14" ref="I12:I17">(64.34*(B12-E12))^0.5</f>
        <v>43.628000136755034</v>
      </c>
      <c r="J12" s="30">
        <f aca="true" t="shared" si="15" ref="J12:J17">0.4085*A12/D12^2</f>
        <v>43.57333333333333</v>
      </c>
      <c r="K12" s="32">
        <f aca="true" t="shared" si="16" ref="K12:K17">0.000002929*A12*J12^2*1000</f>
        <v>333.6661812906666</v>
      </c>
      <c r="L12" s="32">
        <f aca="true" t="shared" si="17" ref="L12:L17">0.9*0.5*K12</f>
        <v>150.14978158079998</v>
      </c>
      <c r="M12" s="31">
        <f aca="true" t="shared" si="18" ref="M12:M17">L12*0.07*24*30/1000</f>
        <v>7.567548991672319</v>
      </c>
      <c r="N12" s="29">
        <v>2000</v>
      </c>
      <c r="O12" s="32">
        <f aca="true" t="shared" si="19" ref="O12:O17">0.5*229.2*J12/P12</f>
        <v>1248.3759999999997</v>
      </c>
      <c r="P12" s="28">
        <v>4</v>
      </c>
      <c r="Q12" s="10"/>
    </row>
    <row r="13" spans="1:17" ht="12.75">
      <c r="A13" s="28">
        <v>74</v>
      </c>
      <c r="B13" s="28">
        <v>75</v>
      </c>
      <c r="C13" s="41">
        <v>3</v>
      </c>
      <c r="D13" s="29">
        <v>0.75</v>
      </c>
      <c r="E13" s="30">
        <f t="shared" si="10"/>
        <v>30.157786483782907</v>
      </c>
      <c r="F13" s="27">
        <f t="shared" si="11"/>
        <v>0.02149948165467671</v>
      </c>
      <c r="G13" s="32">
        <f t="shared" si="12"/>
        <v>78049.26273333334</v>
      </c>
      <c r="H13" s="30">
        <f t="shared" si="13"/>
        <v>3.3587777777777776</v>
      </c>
      <c r="I13" s="30">
        <f t="shared" si="14"/>
        <v>53.71357386763059</v>
      </c>
      <c r="J13" s="30">
        <f t="shared" si="15"/>
        <v>53.74044444444444</v>
      </c>
      <c r="K13" s="32">
        <f t="shared" si="16"/>
        <v>625.970114108005</v>
      </c>
      <c r="L13" s="32">
        <f t="shared" si="17"/>
        <v>281.6865513486022</v>
      </c>
      <c r="M13" s="31">
        <f t="shared" si="18"/>
        <v>14.197002187969554</v>
      </c>
      <c r="N13" s="29">
        <v>2000</v>
      </c>
      <c r="O13" s="32">
        <f t="shared" si="19"/>
        <v>1026.4424888888886</v>
      </c>
      <c r="P13" s="28">
        <v>6</v>
      </c>
      <c r="Q13" s="10"/>
    </row>
    <row r="14" spans="1:17" ht="12.75">
      <c r="A14" s="28">
        <v>86</v>
      </c>
      <c r="B14" s="28">
        <v>100</v>
      </c>
      <c r="C14" s="41">
        <v>3</v>
      </c>
      <c r="D14" s="29">
        <v>0.75</v>
      </c>
      <c r="E14" s="30">
        <f t="shared" si="10"/>
        <v>39.94811215780659</v>
      </c>
      <c r="F14" s="27">
        <f t="shared" si="11"/>
        <v>0.021085860294702843</v>
      </c>
      <c r="G14" s="32">
        <f t="shared" si="12"/>
        <v>90705.89993333333</v>
      </c>
      <c r="H14" s="30">
        <f t="shared" si="13"/>
        <v>3.9034444444444443</v>
      </c>
      <c r="I14" s="30">
        <f t="shared" si="14"/>
        <v>62.15897733848848</v>
      </c>
      <c r="J14" s="30">
        <f t="shared" si="15"/>
        <v>62.45511111111111</v>
      </c>
      <c r="K14" s="32">
        <f t="shared" si="16"/>
        <v>982.5480398472976</v>
      </c>
      <c r="L14" s="32">
        <f t="shared" si="17"/>
        <v>442.1466179312839</v>
      </c>
      <c r="M14" s="31">
        <f t="shared" si="18"/>
        <v>22.284189543736712</v>
      </c>
      <c r="N14" s="29">
        <v>2000</v>
      </c>
      <c r="O14" s="32">
        <f t="shared" si="19"/>
        <v>1192.8926222222221</v>
      </c>
      <c r="P14" s="28">
        <v>6</v>
      </c>
      <c r="Q14" s="10"/>
    </row>
    <row r="15" spans="1:17" ht="12.75">
      <c r="A15" s="28">
        <v>97</v>
      </c>
      <c r="B15" s="28">
        <v>125</v>
      </c>
      <c r="C15" s="41">
        <v>3</v>
      </c>
      <c r="D15" s="29">
        <v>0.75</v>
      </c>
      <c r="E15" s="30">
        <f t="shared" si="10"/>
        <v>50.083984867026565</v>
      </c>
      <c r="F15" s="27">
        <f t="shared" si="11"/>
        <v>0.020780087590889337</v>
      </c>
      <c r="G15" s="32">
        <f t="shared" si="12"/>
        <v>102307.81736666666</v>
      </c>
      <c r="H15" s="30">
        <f t="shared" si="13"/>
        <v>4.402722222222222</v>
      </c>
      <c r="I15" s="30">
        <f t="shared" si="14"/>
        <v>69.42691418791065</v>
      </c>
      <c r="J15" s="30">
        <f t="shared" si="15"/>
        <v>70.44355555555555</v>
      </c>
      <c r="K15" s="32">
        <f t="shared" si="16"/>
        <v>1409.852382764336</v>
      </c>
      <c r="L15" s="32">
        <f t="shared" si="17"/>
        <v>634.4335722439512</v>
      </c>
      <c r="M15" s="31">
        <f t="shared" si="18"/>
        <v>31.975452041095142</v>
      </c>
      <c r="N15" s="29">
        <v>2000</v>
      </c>
      <c r="O15" s="32">
        <f t="shared" si="19"/>
        <v>1345.471911111111</v>
      </c>
      <c r="P15" s="28">
        <v>6</v>
      </c>
      <c r="Q15" s="10"/>
    </row>
    <row r="16" spans="1:17" ht="12.75">
      <c r="A16" s="28">
        <v>105</v>
      </c>
      <c r="B16" s="28">
        <v>150</v>
      </c>
      <c r="C16" s="41">
        <v>3</v>
      </c>
      <c r="D16" s="29">
        <v>0.75</v>
      </c>
      <c r="E16" s="30">
        <f t="shared" si="10"/>
        <v>58.150713883398026</v>
      </c>
      <c r="F16" s="27">
        <f t="shared" si="11"/>
        <v>0.020590572374682238</v>
      </c>
      <c r="G16" s="32">
        <f t="shared" si="12"/>
        <v>110745.57549999999</v>
      </c>
      <c r="H16" s="30">
        <f t="shared" si="13"/>
        <v>4.765833333333333</v>
      </c>
      <c r="I16" s="30">
        <f t="shared" si="14"/>
        <v>76.8738126330558</v>
      </c>
      <c r="J16" s="30">
        <f t="shared" si="15"/>
        <v>76.25333333333333</v>
      </c>
      <c r="K16" s="32">
        <f t="shared" si="16"/>
        <v>1788.2421903546663</v>
      </c>
      <c r="L16" s="32">
        <f t="shared" si="17"/>
        <v>804.7089856595999</v>
      </c>
      <c r="M16" s="31">
        <f t="shared" si="18"/>
        <v>40.55733287724384</v>
      </c>
      <c r="N16" s="29">
        <v>2000</v>
      </c>
      <c r="O16" s="32">
        <f t="shared" si="19"/>
        <v>1092.329</v>
      </c>
      <c r="P16" s="28">
        <v>8</v>
      </c>
      <c r="Q16" s="10"/>
    </row>
    <row r="17" spans="1:17" ht="12.75">
      <c r="A17" s="28">
        <v>122</v>
      </c>
      <c r="B17" s="28">
        <v>200</v>
      </c>
      <c r="C17" s="41">
        <v>3</v>
      </c>
      <c r="D17" s="29">
        <v>0.75</v>
      </c>
      <c r="E17" s="30">
        <f t="shared" si="10"/>
        <v>77.22986692291195</v>
      </c>
      <c r="F17" s="27">
        <f t="shared" si="11"/>
        <v>0.02025618206563908</v>
      </c>
      <c r="G17" s="32">
        <f t="shared" si="12"/>
        <v>128675.81153333331</v>
      </c>
      <c r="H17" s="30">
        <f t="shared" si="13"/>
        <v>5.537444444444444</v>
      </c>
      <c r="I17" s="30">
        <f t="shared" si="14"/>
        <v>88.87648936687276</v>
      </c>
      <c r="J17" s="30">
        <f t="shared" si="15"/>
        <v>88.5991111111111</v>
      </c>
      <c r="K17" s="32">
        <f t="shared" si="16"/>
        <v>2805.032722056918</v>
      </c>
      <c r="L17" s="32">
        <f t="shared" si="17"/>
        <v>1262.264724925613</v>
      </c>
      <c r="M17" s="31">
        <f t="shared" si="18"/>
        <v>63.61814213625092</v>
      </c>
      <c r="N17" s="29">
        <v>2000</v>
      </c>
      <c r="O17" s="32">
        <f t="shared" si="19"/>
        <v>1269.1822666666665</v>
      </c>
      <c r="P17" s="28">
        <v>8</v>
      </c>
      <c r="Q17" s="10"/>
    </row>
    <row r="18" spans="1:17" ht="12.75">
      <c r="A18" s="28"/>
      <c r="B18" s="28"/>
      <c r="C18" s="41"/>
      <c r="D18" s="29"/>
      <c r="E18" s="30"/>
      <c r="F18" s="28"/>
      <c r="G18" s="28"/>
      <c r="H18" s="30"/>
      <c r="I18" s="30"/>
      <c r="J18" s="30"/>
      <c r="K18" s="32"/>
      <c r="L18" s="32"/>
      <c r="M18" s="31"/>
      <c r="N18" s="29"/>
      <c r="O18" s="28"/>
      <c r="P18" s="28"/>
      <c r="Q18" s="10"/>
    </row>
    <row r="19" spans="1:17" ht="12.75">
      <c r="A19" s="28"/>
      <c r="B19" s="28"/>
      <c r="C19" s="41"/>
      <c r="D19" s="29"/>
      <c r="E19" s="30"/>
      <c r="F19" s="28"/>
      <c r="G19" s="28"/>
      <c r="H19" s="28"/>
      <c r="I19" s="28"/>
      <c r="J19" s="28"/>
      <c r="K19" s="32"/>
      <c r="L19" s="32"/>
      <c r="M19" s="28"/>
      <c r="N19" s="29"/>
      <c r="O19" s="28"/>
      <c r="P19" s="28"/>
      <c r="Q19" s="10"/>
    </row>
    <row r="20" spans="1:17" ht="12.75">
      <c r="A20" s="9" t="s">
        <v>22</v>
      </c>
      <c r="B20" s="28"/>
      <c r="C20" s="41"/>
      <c r="D20" s="29"/>
      <c r="E20" s="30"/>
      <c r="F20" s="30"/>
      <c r="G20" s="30"/>
      <c r="H20" s="30"/>
      <c r="I20" s="30"/>
      <c r="J20" s="30"/>
      <c r="K20" s="32"/>
      <c r="L20" s="32"/>
      <c r="M20" s="31"/>
      <c r="N20" s="29"/>
      <c r="O20" s="28"/>
      <c r="P20" s="28"/>
      <c r="Q20" s="10"/>
    </row>
    <row r="21" spans="1:17" ht="38.25">
      <c r="A21" s="9" t="s">
        <v>0</v>
      </c>
      <c r="B21" s="17" t="s">
        <v>18</v>
      </c>
      <c r="C21" s="24" t="s">
        <v>14</v>
      </c>
      <c r="D21" s="17" t="s">
        <v>13</v>
      </c>
      <c r="E21" s="9" t="s">
        <v>12</v>
      </c>
      <c r="F21" s="19" t="s">
        <v>1</v>
      </c>
      <c r="G21" s="20" t="s">
        <v>2</v>
      </c>
      <c r="H21" s="18" t="s">
        <v>11</v>
      </c>
      <c r="I21" s="17" t="s">
        <v>10</v>
      </c>
      <c r="J21" s="18" t="s">
        <v>9</v>
      </c>
      <c r="K21" s="24" t="s">
        <v>38</v>
      </c>
      <c r="L21" s="24" t="s">
        <v>40</v>
      </c>
      <c r="M21" s="22" t="s">
        <v>7</v>
      </c>
      <c r="N21" s="18" t="s">
        <v>8</v>
      </c>
      <c r="O21" s="20" t="s">
        <v>3</v>
      </c>
      <c r="P21" s="9" t="s">
        <v>4</v>
      </c>
      <c r="Q21" s="10"/>
    </row>
    <row r="22" spans="1:17" ht="12.75">
      <c r="A22" s="28">
        <v>115</v>
      </c>
      <c r="B22" s="28">
        <v>50</v>
      </c>
      <c r="C22" s="41">
        <v>4</v>
      </c>
      <c r="D22" s="29">
        <v>1</v>
      </c>
      <c r="E22" s="30">
        <f aca="true" t="shared" si="20" ref="E22:E27">1200*F22*H22^2/C22/2/32.17*N22/100</f>
        <v>16.445547330865097</v>
      </c>
      <c r="F22" s="27">
        <f aca="true" t="shared" si="21" ref="F22:F27">LOG((0.00015*12/C22/3.7)+5.74/G22^0.9)^-2*0.25</f>
        <v>0.020456828347871634</v>
      </c>
      <c r="G22" s="32">
        <f aca="true" t="shared" si="22" ref="G22:G27">7745.8*H22*C22/1</f>
        <v>90969.579875</v>
      </c>
      <c r="H22" s="30">
        <f aca="true" t="shared" si="23" ref="H22:H27">0.4085*A22/C22^2</f>
        <v>2.93609375</v>
      </c>
      <c r="I22" s="30">
        <f aca="true" t="shared" si="24" ref="I22:I27">(64.34*(B22-E22))^0.5</f>
        <v>46.4638944206374</v>
      </c>
      <c r="J22" s="30">
        <f aca="true" t="shared" si="25" ref="J22:J27">0.4085*A22/D22^2</f>
        <v>46.9775</v>
      </c>
      <c r="K22" s="32">
        <f aca="true" t="shared" si="26" ref="K22:K27">0.000002929*A22*J22^2*1000</f>
        <v>743.3562794977186</v>
      </c>
      <c r="L22" s="32">
        <f aca="true" t="shared" si="27" ref="L22:L27">0.9*0.5*K22</f>
        <v>334.51032577397336</v>
      </c>
      <c r="M22" s="31">
        <f aca="true" t="shared" si="28" ref="M22:M27">L22*0.07*24*30/1000</f>
        <v>16.859320419008263</v>
      </c>
      <c r="N22" s="29">
        <v>2000</v>
      </c>
      <c r="O22" s="32">
        <f aca="true" t="shared" si="29" ref="O22:O27">0.5*229.2*J22/P22</f>
        <v>897.2702499999999</v>
      </c>
      <c r="P22" s="28">
        <v>6</v>
      </c>
      <c r="Q22" s="10"/>
    </row>
    <row r="23" spans="1:17" ht="12.75">
      <c r="A23" s="28">
        <v>140</v>
      </c>
      <c r="B23" s="28">
        <v>75</v>
      </c>
      <c r="C23" s="41">
        <v>4</v>
      </c>
      <c r="D23" s="29">
        <v>1</v>
      </c>
      <c r="E23" s="30">
        <f t="shared" si="20"/>
        <v>23.74436716348206</v>
      </c>
      <c r="F23" s="27">
        <f t="shared" si="21"/>
        <v>0.019929214320482606</v>
      </c>
      <c r="G23" s="32">
        <f t="shared" si="22"/>
        <v>110745.57549999999</v>
      </c>
      <c r="H23" s="30">
        <f t="shared" si="23"/>
        <v>3.574375</v>
      </c>
      <c r="I23" s="30">
        <f t="shared" si="24"/>
        <v>57.4263651705518</v>
      </c>
      <c r="J23" s="30">
        <f t="shared" si="25"/>
        <v>57.19</v>
      </c>
      <c r="K23" s="32">
        <f t="shared" si="26"/>
        <v>1341.1816427659996</v>
      </c>
      <c r="L23" s="32">
        <f t="shared" si="27"/>
        <v>603.5317392446999</v>
      </c>
      <c r="M23" s="31">
        <f t="shared" si="28"/>
        <v>30.417999657932878</v>
      </c>
      <c r="N23" s="29">
        <v>2000</v>
      </c>
      <c r="O23" s="32">
        <f t="shared" si="29"/>
        <v>1092.329</v>
      </c>
      <c r="P23" s="28">
        <v>6</v>
      </c>
      <c r="Q23" s="10"/>
    </row>
    <row r="24" spans="1:17" ht="12.75">
      <c r="A24" s="28">
        <v>163</v>
      </c>
      <c r="B24" s="28">
        <v>100</v>
      </c>
      <c r="C24" s="41">
        <v>4</v>
      </c>
      <c r="D24" s="29">
        <v>1</v>
      </c>
      <c r="E24" s="30">
        <f t="shared" si="20"/>
        <v>31.59053229858039</v>
      </c>
      <c r="F24" s="27">
        <f t="shared" si="21"/>
        <v>0.01955993398711659</v>
      </c>
      <c r="G24" s="32">
        <f t="shared" si="22"/>
        <v>128939.491475</v>
      </c>
      <c r="H24" s="30">
        <f t="shared" si="23"/>
        <v>4.16159375</v>
      </c>
      <c r="I24" s="30">
        <f t="shared" si="24"/>
        <v>66.34353888593326</v>
      </c>
      <c r="J24" s="30">
        <f t="shared" si="25"/>
        <v>66.5855</v>
      </c>
      <c r="K24" s="32">
        <f t="shared" si="26"/>
        <v>2116.7341019912265</v>
      </c>
      <c r="L24" s="32">
        <f t="shared" si="27"/>
        <v>952.5303458960519</v>
      </c>
      <c r="M24" s="31">
        <f t="shared" si="28"/>
        <v>48.00752943316102</v>
      </c>
      <c r="N24" s="29">
        <v>2000</v>
      </c>
      <c r="O24" s="32">
        <f t="shared" si="29"/>
        <v>1271.7830499999998</v>
      </c>
      <c r="P24" s="28">
        <v>6</v>
      </c>
      <c r="Q24" s="10"/>
    </row>
    <row r="25" spans="1:17" ht="12.75">
      <c r="A25" s="28">
        <v>182</v>
      </c>
      <c r="B25" s="28">
        <v>125</v>
      </c>
      <c r="C25" s="41">
        <v>4</v>
      </c>
      <c r="D25" s="29">
        <v>1</v>
      </c>
      <c r="E25" s="30">
        <f t="shared" si="20"/>
        <v>38.88553060452502</v>
      </c>
      <c r="F25" s="27">
        <f t="shared" si="21"/>
        <v>0.019312162326780787</v>
      </c>
      <c r="G25" s="32">
        <f t="shared" si="22"/>
        <v>143969.24815</v>
      </c>
      <c r="H25" s="30">
        <f t="shared" si="23"/>
        <v>4.6466875</v>
      </c>
      <c r="I25" s="30">
        <f t="shared" si="24"/>
        <v>74.4352400473382</v>
      </c>
      <c r="J25" s="30">
        <f t="shared" si="25"/>
        <v>74.347</v>
      </c>
      <c r="K25" s="32">
        <f t="shared" si="26"/>
        <v>2946.576069156901</v>
      </c>
      <c r="L25" s="32">
        <f t="shared" si="27"/>
        <v>1325.9592311206056</v>
      </c>
      <c r="M25" s="31">
        <f t="shared" si="28"/>
        <v>66.82834524847854</v>
      </c>
      <c r="N25" s="29">
        <v>2000</v>
      </c>
      <c r="O25" s="32">
        <f t="shared" si="29"/>
        <v>1420.0276999999999</v>
      </c>
      <c r="P25" s="28">
        <v>6</v>
      </c>
      <c r="Q25" s="10"/>
    </row>
    <row r="26" spans="1:17" ht="12.75">
      <c r="A26" s="28">
        <v>200</v>
      </c>
      <c r="B26" s="28">
        <v>150</v>
      </c>
      <c r="C26" s="41">
        <v>4</v>
      </c>
      <c r="D26" s="29">
        <v>1</v>
      </c>
      <c r="E26" s="30">
        <f t="shared" si="20"/>
        <v>46.47299508668344</v>
      </c>
      <c r="F26" s="27">
        <f t="shared" si="21"/>
        <v>0.019112888277124332</v>
      </c>
      <c r="G26" s="32">
        <f t="shared" si="22"/>
        <v>158207.96499999997</v>
      </c>
      <c r="H26" s="30">
        <f t="shared" si="23"/>
        <v>5.106249999999999</v>
      </c>
      <c r="I26" s="30">
        <f t="shared" si="24"/>
        <v>81.6145054271775</v>
      </c>
      <c r="J26" s="30">
        <f t="shared" si="25"/>
        <v>81.69999999999999</v>
      </c>
      <c r="K26" s="32">
        <f t="shared" si="26"/>
        <v>3910.150561999999</v>
      </c>
      <c r="L26" s="32">
        <f t="shared" si="27"/>
        <v>1759.5677528999995</v>
      </c>
      <c r="M26" s="31">
        <f t="shared" si="28"/>
        <v>88.68221474615999</v>
      </c>
      <c r="N26" s="29">
        <v>2000</v>
      </c>
      <c r="O26" s="32">
        <f t="shared" si="29"/>
        <v>1170.3524999999997</v>
      </c>
      <c r="P26" s="28">
        <v>8</v>
      </c>
      <c r="Q26" s="10"/>
    </row>
    <row r="27" spans="1:17" ht="12.75">
      <c r="A27" s="28">
        <v>232</v>
      </c>
      <c r="B27" s="28">
        <v>200</v>
      </c>
      <c r="C27" s="41">
        <v>4</v>
      </c>
      <c r="D27" s="29">
        <v>1</v>
      </c>
      <c r="E27" s="30">
        <f t="shared" si="20"/>
        <v>61.58171721029096</v>
      </c>
      <c r="F27" s="27">
        <f t="shared" si="21"/>
        <v>0.018821813900449735</v>
      </c>
      <c r="G27" s="32">
        <f t="shared" si="22"/>
        <v>183521.2394</v>
      </c>
      <c r="H27" s="30">
        <f t="shared" si="23"/>
        <v>5.9232499999999995</v>
      </c>
      <c r="I27" s="30">
        <f t="shared" si="24"/>
        <v>94.37071746410473</v>
      </c>
      <c r="J27" s="30">
        <f t="shared" si="25"/>
        <v>94.77199999999999</v>
      </c>
      <c r="K27" s="32">
        <f t="shared" si="26"/>
        <v>6103.33837162355</v>
      </c>
      <c r="L27" s="32">
        <f t="shared" si="27"/>
        <v>2746.5022672305977</v>
      </c>
      <c r="M27" s="31">
        <f t="shared" si="28"/>
        <v>138.42371426842215</v>
      </c>
      <c r="N27" s="29">
        <v>2000</v>
      </c>
      <c r="O27" s="32">
        <f t="shared" si="29"/>
        <v>1357.6088999999997</v>
      </c>
      <c r="P27" s="28">
        <v>8</v>
      </c>
      <c r="Q27" s="10"/>
    </row>
    <row r="28" spans="1:17" ht="12.75">
      <c r="A28" s="10"/>
      <c r="B28" s="10"/>
      <c r="C28" s="38"/>
      <c r="D28" s="15"/>
      <c r="E28" s="12"/>
      <c r="F28" s="10"/>
      <c r="G28" s="10"/>
      <c r="H28" s="10"/>
      <c r="I28" s="10"/>
      <c r="J28" s="10"/>
      <c r="K28" s="16"/>
      <c r="L28" s="16"/>
      <c r="M28" s="10"/>
      <c r="N28" s="15"/>
      <c r="O28" s="10"/>
      <c r="P28" s="10"/>
      <c r="Q28" s="10"/>
    </row>
    <row r="29" spans="1:17" ht="12.75">
      <c r="A29" s="9" t="s">
        <v>32</v>
      </c>
      <c r="B29" s="10"/>
      <c r="C29" s="38"/>
      <c r="D29" s="15"/>
      <c r="E29" s="12"/>
      <c r="F29" s="12"/>
      <c r="G29" s="12"/>
      <c r="H29" s="12"/>
      <c r="I29" s="12"/>
      <c r="J29" s="12"/>
      <c r="K29" s="16"/>
      <c r="L29" s="16"/>
      <c r="M29" s="14"/>
      <c r="N29" s="15"/>
      <c r="O29" s="10"/>
      <c r="P29" s="10"/>
      <c r="Q29" s="10"/>
    </row>
    <row r="30" spans="1:17" ht="38.25">
      <c r="A30" s="9" t="s">
        <v>0</v>
      </c>
      <c r="B30" s="17" t="s">
        <v>18</v>
      </c>
      <c r="C30" s="24" t="s">
        <v>14</v>
      </c>
      <c r="D30" s="17" t="s">
        <v>13</v>
      </c>
      <c r="E30" s="9" t="s">
        <v>12</v>
      </c>
      <c r="F30" s="19" t="s">
        <v>1</v>
      </c>
      <c r="G30" s="20" t="s">
        <v>2</v>
      </c>
      <c r="H30" s="18" t="s">
        <v>11</v>
      </c>
      <c r="I30" s="17" t="s">
        <v>10</v>
      </c>
      <c r="J30" s="18" t="s">
        <v>9</v>
      </c>
      <c r="K30" s="24" t="s">
        <v>38</v>
      </c>
      <c r="L30" s="24" t="s">
        <v>40</v>
      </c>
      <c r="M30" s="22" t="s">
        <v>7</v>
      </c>
      <c r="N30" s="18" t="s">
        <v>8</v>
      </c>
      <c r="O30" s="20" t="s">
        <v>3</v>
      </c>
      <c r="P30" s="9" t="s">
        <v>4</v>
      </c>
      <c r="Q30" s="10"/>
    </row>
    <row r="31" spans="1:17" ht="12.75">
      <c r="A31" s="10">
        <v>275</v>
      </c>
      <c r="B31" s="10">
        <v>50</v>
      </c>
      <c r="C31" s="38">
        <v>6</v>
      </c>
      <c r="D31" s="15">
        <v>1.5</v>
      </c>
      <c r="E31" s="12">
        <f aca="true" t="shared" si="30" ref="E31:E36">1200*F31*H31^2/C31/2/32.17*N31/100</f>
        <v>11.201366205782314</v>
      </c>
      <c r="F31" s="13">
        <f aca="true" t="shared" si="31" ref="F31:F36">LOG((0.00015*12/C31/3.7)+5.74/G31^0.9)^-2*0.25</f>
        <v>0.01850323025379251</v>
      </c>
      <c r="G31" s="16">
        <f aca="true" t="shared" si="32" ref="G31:G36">7745.8*H31*C31/1</f>
        <v>145023.96791666665</v>
      </c>
      <c r="H31" s="12">
        <f aca="true" t="shared" si="33" ref="H31:H36">0.4085*A31/C31^2</f>
        <v>3.120486111111111</v>
      </c>
      <c r="I31" s="12">
        <f aca="true" t="shared" si="34" ref="I31:I36">(64.34*(B31-E31))^0.5</f>
        <v>49.96302731340412</v>
      </c>
      <c r="J31" s="12">
        <f aca="true" t="shared" si="35" ref="J31:J36">0.4085*A31/D31^2</f>
        <v>49.92777777777778</v>
      </c>
      <c r="K31" s="32">
        <f aca="true" t="shared" si="36" ref="K31:K36">0.000002929*A31*J31^2*1000</f>
        <v>2007.8743819529316</v>
      </c>
      <c r="L31" s="32">
        <f aca="true" t="shared" si="37" ref="L31:L36">0.9*0.5*K31</f>
        <v>903.5434718788192</v>
      </c>
      <c r="M31" s="31">
        <f aca="true" t="shared" si="38" ref="M31:M36">L31*0.07*24*30/1000</f>
        <v>45.53859098269249</v>
      </c>
      <c r="N31" s="15">
        <v>2000</v>
      </c>
      <c r="O31" s="16">
        <f aca="true" t="shared" si="39" ref="O31:O36">0.5*229.2*J31/P31</f>
        <v>1430.4308333333333</v>
      </c>
      <c r="P31" s="10">
        <v>4</v>
      </c>
      <c r="Q31" s="10"/>
    </row>
    <row r="32" spans="1:17" ht="12.75">
      <c r="A32" s="10">
        <v>340</v>
      </c>
      <c r="B32" s="10">
        <v>75</v>
      </c>
      <c r="C32" s="38">
        <v>6</v>
      </c>
      <c r="D32" s="15">
        <v>1.5</v>
      </c>
      <c r="E32" s="12">
        <f t="shared" si="30"/>
        <v>16.673366491704396</v>
      </c>
      <c r="F32" s="13">
        <f t="shared" si="31"/>
        <v>0.01801803421628428</v>
      </c>
      <c r="G32" s="16">
        <f t="shared" si="32"/>
        <v>179302.36033333332</v>
      </c>
      <c r="H32" s="12">
        <f t="shared" si="33"/>
        <v>3.858055555555555</v>
      </c>
      <c r="I32" s="12">
        <f t="shared" si="34"/>
        <v>61.25957557740455</v>
      </c>
      <c r="J32" s="12">
        <f t="shared" si="35"/>
        <v>61.72888888888888</v>
      </c>
      <c r="K32" s="32">
        <f t="shared" si="36"/>
        <v>3794.6804367616774</v>
      </c>
      <c r="L32" s="32">
        <f t="shared" si="37"/>
        <v>1707.6061965427548</v>
      </c>
      <c r="M32" s="31">
        <f t="shared" si="38"/>
        <v>86.06335230575485</v>
      </c>
      <c r="N32" s="15">
        <v>2000</v>
      </c>
      <c r="O32" s="16">
        <f t="shared" si="39"/>
        <v>1179.0217777777775</v>
      </c>
      <c r="P32" s="10">
        <v>6</v>
      </c>
      <c r="Q32" s="10"/>
    </row>
    <row r="33" spans="1:17" ht="12.75">
      <c r="A33" s="10">
        <v>390</v>
      </c>
      <c r="B33" s="10">
        <v>100</v>
      </c>
      <c r="C33" s="38">
        <v>6</v>
      </c>
      <c r="D33" s="15">
        <v>1.5</v>
      </c>
      <c r="E33" s="12">
        <f t="shared" si="30"/>
        <v>21.591814420425294</v>
      </c>
      <c r="F33" s="13">
        <f t="shared" si="31"/>
        <v>0.017733802597040653</v>
      </c>
      <c r="G33" s="16">
        <f t="shared" si="32"/>
        <v>205670.35450000002</v>
      </c>
      <c r="H33" s="12">
        <f t="shared" si="33"/>
        <v>4.425416666666667</v>
      </c>
      <c r="I33" s="12">
        <f t="shared" si="34"/>
        <v>71.02663345668185</v>
      </c>
      <c r="J33" s="12">
        <f t="shared" si="35"/>
        <v>70.80666666666667</v>
      </c>
      <c r="K33" s="32">
        <f t="shared" si="36"/>
        <v>5727.067189809333</v>
      </c>
      <c r="L33" s="32">
        <f t="shared" si="37"/>
        <v>2577.1802354142</v>
      </c>
      <c r="M33" s="31">
        <f t="shared" si="38"/>
        <v>129.8898838648757</v>
      </c>
      <c r="N33" s="15">
        <v>2000</v>
      </c>
      <c r="O33" s="16">
        <f t="shared" si="39"/>
        <v>1352.4073333333333</v>
      </c>
      <c r="P33" s="10">
        <v>6</v>
      </c>
      <c r="Q33" s="10"/>
    </row>
    <row r="34" spans="1:17" ht="12.75">
      <c r="A34" s="10">
        <v>442</v>
      </c>
      <c r="B34" s="10">
        <v>125</v>
      </c>
      <c r="C34" s="38">
        <v>6</v>
      </c>
      <c r="D34" s="15">
        <v>1.5</v>
      </c>
      <c r="E34" s="12">
        <f t="shared" si="30"/>
        <v>27.357836170620686</v>
      </c>
      <c r="F34" s="13">
        <f t="shared" si="31"/>
        <v>0.01749359834429492</v>
      </c>
      <c r="G34" s="16">
        <f t="shared" si="32"/>
        <v>233093.06843333333</v>
      </c>
      <c r="H34" s="12">
        <f t="shared" si="33"/>
        <v>5.015472222222222</v>
      </c>
      <c r="I34" s="12">
        <f t="shared" si="34"/>
        <v>79.26094133166893</v>
      </c>
      <c r="J34" s="12">
        <f t="shared" si="35"/>
        <v>80.24755555555555</v>
      </c>
      <c r="K34" s="32">
        <f t="shared" si="36"/>
        <v>8336.912919565406</v>
      </c>
      <c r="L34" s="32">
        <f t="shared" si="37"/>
        <v>3751.610813804433</v>
      </c>
      <c r="M34" s="31">
        <f t="shared" si="38"/>
        <v>189.08118501574342</v>
      </c>
      <c r="N34" s="15">
        <v>2000</v>
      </c>
      <c r="O34" s="16">
        <f t="shared" si="39"/>
        <v>1532.728311111111</v>
      </c>
      <c r="P34" s="10">
        <v>6</v>
      </c>
      <c r="Q34" s="10"/>
    </row>
    <row r="35" spans="1:17" ht="12.75">
      <c r="A35" s="10">
        <v>480</v>
      </c>
      <c r="B35" s="10">
        <v>150</v>
      </c>
      <c r="C35" s="38">
        <v>6</v>
      </c>
      <c r="D35" s="15">
        <v>1.5</v>
      </c>
      <c r="E35" s="12">
        <f t="shared" si="30"/>
        <v>31.989756129171713</v>
      </c>
      <c r="F35" s="13">
        <f t="shared" si="31"/>
        <v>0.01734484405750336</v>
      </c>
      <c r="G35" s="16">
        <f t="shared" si="32"/>
        <v>253132.744</v>
      </c>
      <c r="H35" s="12">
        <f t="shared" si="33"/>
        <v>5.446666666666666</v>
      </c>
      <c r="I35" s="12">
        <f t="shared" si="34"/>
        <v>87.13655427344538</v>
      </c>
      <c r="J35" s="12">
        <f t="shared" si="35"/>
        <v>87.14666666666666</v>
      </c>
      <c r="K35" s="32">
        <f t="shared" si="36"/>
        <v>10677.317801301331</v>
      </c>
      <c r="L35" s="32">
        <f t="shared" si="37"/>
        <v>4804.793010585599</v>
      </c>
      <c r="M35" s="31">
        <f t="shared" si="38"/>
        <v>242.1615677335142</v>
      </c>
      <c r="N35" s="15">
        <v>2000</v>
      </c>
      <c r="O35" s="16">
        <f t="shared" si="39"/>
        <v>1664.501333333333</v>
      </c>
      <c r="P35" s="10">
        <v>6</v>
      </c>
      <c r="Q35" s="10"/>
    </row>
    <row r="36" spans="1:17" ht="12.75">
      <c r="A36" s="10">
        <v>555</v>
      </c>
      <c r="B36" s="10">
        <v>200</v>
      </c>
      <c r="C36" s="38">
        <v>6</v>
      </c>
      <c r="D36" s="15">
        <v>1.5</v>
      </c>
      <c r="E36" s="12">
        <f t="shared" si="30"/>
        <v>42.1651768317366</v>
      </c>
      <c r="F36" s="13">
        <f t="shared" si="31"/>
        <v>0.017100543152291908</v>
      </c>
      <c r="G36" s="16">
        <f t="shared" si="32"/>
        <v>292684.73524999997</v>
      </c>
      <c r="H36" s="12">
        <f t="shared" si="33"/>
        <v>6.297708333333333</v>
      </c>
      <c r="I36" s="12">
        <f t="shared" si="34"/>
        <v>100.77247899424756</v>
      </c>
      <c r="J36" s="12">
        <f t="shared" si="35"/>
        <v>100.76333333333332</v>
      </c>
      <c r="K36" s="32">
        <f t="shared" si="36"/>
        <v>16505.071368082165</v>
      </c>
      <c r="L36" s="32">
        <f t="shared" si="37"/>
        <v>7427.282115636975</v>
      </c>
      <c r="M36" s="31">
        <f t="shared" si="38"/>
        <v>374.33501862810357</v>
      </c>
      <c r="N36" s="15">
        <v>2000</v>
      </c>
      <c r="O36" s="16">
        <f t="shared" si="39"/>
        <v>1924.5796666666663</v>
      </c>
      <c r="P36" s="10">
        <v>6</v>
      </c>
      <c r="Q36" s="10"/>
    </row>
    <row r="37" spans="1:17" ht="12.75">
      <c r="A37" s="10"/>
      <c r="B37" s="10"/>
      <c r="C37" s="38"/>
      <c r="D37" s="15"/>
      <c r="E37" s="12"/>
      <c r="F37" s="10"/>
      <c r="G37" s="10"/>
      <c r="H37" s="10"/>
      <c r="I37" s="10"/>
      <c r="J37" s="10"/>
      <c r="K37" s="16"/>
      <c r="L37" s="16"/>
      <c r="M37" s="10"/>
      <c r="N37" s="15"/>
      <c r="O37" s="10"/>
      <c r="P37" s="10"/>
      <c r="Q37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workbookViewId="0" topLeftCell="A1">
      <selection activeCell="M21" sqref="M21"/>
    </sheetView>
  </sheetViews>
  <sheetFormatPr defaultColWidth="9.140625" defaultRowHeight="12.75"/>
  <cols>
    <col min="2" max="2" width="8.28125" style="0" customWidth="1"/>
    <col min="3" max="3" width="11.7109375" style="5" customWidth="1"/>
    <col min="4" max="4" width="7.8515625" style="5" customWidth="1"/>
    <col min="5" max="5" width="8.28125" style="7" customWidth="1"/>
    <col min="6" max="6" width="7.8515625" style="1" customWidth="1"/>
    <col min="7" max="7" width="2.00390625" style="0" customWidth="1"/>
    <col min="8" max="8" width="1.28515625" style="0" customWidth="1"/>
    <col min="12" max="13" width="9.140625" style="5" customWidth="1"/>
    <col min="14" max="14" width="10.140625" style="6" customWidth="1"/>
    <col min="16" max="16" width="11.00390625" style="7" customWidth="1"/>
    <col min="17" max="17" width="11.00390625" style="0" customWidth="1"/>
    <col min="18" max="18" width="7.28125" style="7" customWidth="1"/>
    <col min="19" max="19" width="9.140625" style="37" customWidth="1"/>
  </cols>
  <sheetData>
    <row r="1" spans="1:19" ht="15.75">
      <c r="A1" s="26" t="s">
        <v>34</v>
      </c>
      <c r="B1" s="10"/>
      <c r="C1" s="16"/>
      <c r="D1" s="16"/>
      <c r="E1" s="15"/>
      <c r="F1" s="12"/>
      <c r="G1" s="10"/>
      <c r="H1" s="10"/>
      <c r="I1" s="10"/>
      <c r="J1" s="10"/>
      <c r="K1" s="10"/>
      <c r="L1" s="16"/>
      <c r="M1" s="16"/>
      <c r="N1" s="33"/>
      <c r="O1" s="10"/>
      <c r="P1" s="15"/>
      <c r="Q1" s="10"/>
      <c r="R1" s="15"/>
      <c r="S1" s="35"/>
    </row>
    <row r="2" spans="1:19" ht="12.75">
      <c r="A2" s="9" t="s">
        <v>24</v>
      </c>
      <c r="B2" s="10"/>
      <c r="C2" s="16"/>
      <c r="D2" s="16"/>
      <c r="E2" s="15"/>
      <c r="F2" s="12"/>
      <c r="G2" s="12"/>
      <c r="H2" s="12"/>
      <c r="I2" s="12"/>
      <c r="J2" s="12"/>
      <c r="K2" s="12"/>
      <c r="L2" s="16"/>
      <c r="M2" s="16"/>
      <c r="N2" s="33"/>
      <c r="O2" s="14"/>
      <c r="P2" s="15"/>
      <c r="Q2" s="10"/>
      <c r="R2" s="15"/>
      <c r="S2" s="35"/>
    </row>
    <row r="3" spans="1:19" ht="76.5">
      <c r="A3" s="9" t="s">
        <v>0</v>
      </c>
      <c r="B3" s="17" t="s">
        <v>18</v>
      </c>
      <c r="C3" s="20" t="s">
        <v>14</v>
      </c>
      <c r="D3" s="24" t="s">
        <v>15</v>
      </c>
      <c r="E3" s="17" t="s">
        <v>13</v>
      </c>
      <c r="F3" s="23" t="s">
        <v>12</v>
      </c>
      <c r="G3" s="19" t="s">
        <v>1</v>
      </c>
      <c r="H3" s="20" t="s">
        <v>2</v>
      </c>
      <c r="I3" s="18" t="s">
        <v>11</v>
      </c>
      <c r="J3" s="17" t="s">
        <v>10</v>
      </c>
      <c r="K3" s="18" t="s">
        <v>17</v>
      </c>
      <c r="L3" s="24" t="s">
        <v>39</v>
      </c>
      <c r="M3" s="24" t="s">
        <v>40</v>
      </c>
      <c r="N3" s="34" t="s">
        <v>16</v>
      </c>
      <c r="O3" s="22" t="s">
        <v>7</v>
      </c>
      <c r="P3" s="18" t="s">
        <v>8</v>
      </c>
      <c r="Q3" s="20" t="s">
        <v>3</v>
      </c>
      <c r="R3" s="17" t="s">
        <v>4</v>
      </c>
      <c r="S3" s="36" t="s">
        <v>37</v>
      </c>
    </row>
    <row r="4" spans="1:19" ht="12.75">
      <c r="A4" s="10">
        <v>34</v>
      </c>
      <c r="B4" s="10">
        <v>25</v>
      </c>
      <c r="C4" s="16">
        <v>2</v>
      </c>
      <c r="D4" s="32">
        <v>2</v>
      </c>
      <c r="E4" s="15">
        <v>0.5</v>
      </c>
      <c r="F4" s="12">
        <f>1200*G4*I4^2/C4/2/32.17*P4/100</f>
        <v>13.293347962647406</v>
      </c>
      <c r="G4" s="13">
        <f>LOG((0.00015*12/C4/3.7)+5.74/H4^0.9)^-2*0.25</f>
        <v>0.02364679038072238</v>
      </c>
      <c r="H4" s="16">
        <f>7745.8*I4*C4/1</f>
        <v>53790.708099999996</v>
      </c>
      <c r="I4" s="12">
        <f>0.4085*A4/C4^2</f>
        <v>3.47225</v>
      </c>
      <c r="J4" s="30">
        <f>((64.34*(B4-F4))^0.5)</f>
        <v>27.444598595775926</v>
      </c>
      <c r="K4" s="30">
        <f>0.4085*A4/D4/E4^2</f>
        <v>27.778</v>
      </c>
      <c r="L4" s="32">
        <f>0.000002929*A4*K4^2/D4*1000</f>
        <v>38.42113942221199</v>
      </c>
      <c r="M4" s="16">
        <f>0.9*0.5*L4*D4</f>
        <v>34.5790254799908</v>
      </c>
      <c r="N4" s="33">
        <f>(M4-'500 feet'!M4)/'500 feet'!M4</f>
        <v>-0.07719759579263734</v>
      </c>
      <c r="O4" s="14">
        <f>M4*0.07*24*30/1000</f>
        <v>1.742782884191536</v>
      </c>
      <c r="P4" s="15">
        <v>500</v>
      </c>
      <c r="Q4" s="16">
        <f>0.5*229.2*K4/R4</f>
        <v>795.8396999999999</v>
      </c>
      <c r="R4" s="15">
        <v>4</v>
      </c>
      <c r="S4" s="35">
        <f>(Q4-'500 feet'!P4)/'500 feet'!P4</f>
        <v>-0.2272727272727274</v>
      </c>
    </row>
    <row r="5" spans="1:19" ht="12.75">
      <c r="A5" s="10">
        <v>48</v>
      </c>
      <c r="B5" s="10">
        <v>50</v>
      </c>
      <c r="C5" s="16">
        <v>2</v>
      </c>
      <c r="D5" s="32">
        <v>2</v>
      </c>
      <c r="E5" s="15">
        <v>0.5</v>
      </c>
      <c r="F5" s="12">
        <f>1200*G5*I5^2/C5/2/32.17*P5/100</f>
        <v>25.373011483967392</v>
      </c>
      <c r="G5" s="13">
        <f>LOG((0.00015*12/C5/3.7)+5.74/H5^0.9)^-2*0.25</f>
        <v>0.022645671548567933</v>
      </c>
      <c r="H5" s="16">
        <f>7745.8*I5*C5/1</f>
        <v>75939.82319999998</v>
      </c>
      <c r="I5" s="12">
        <f>0.4085*A5/C5^2</f>
        <v>4.901999999999999</v>
      </c>
      <c r="J5" s="30">
        <f>((64.34*(B5-F5))^0.5)</f>
        <v>39.80578401591329</v>
      </c>
      <c r="K5" s="30">
        <f>0.4085*A5/D5/E5^2</f>
        <v>39.215999999999994</v>
      </c>
      <c r="L5" s="32">
        <f>0.000002929*A5*K5^2/D5*1000</f>
        <v>108.10784273817595</v>
      </c>
      <c r="M5" s="16">
        <f>0.9*0.5*L5*D5</f>
        <v>97.29705846435836</v>
      </c>
      <c r="N5" s="33">
        <f>(M5-'500 feet'!M5)/'500 feet'!M5</f>
        <v>-0.07193447685542657</v>
      </c>
      <c r="O5" s="14">
        <f>M5*0.07*24*30/1000</f>
        <v>4.903771746603662</v>
      </c>
      <c r="P5" s="15">
        <v>500</v>
      </c>
      <c r="Q5" s="16">
        <f>0.5*229.2*K5/R5</f>
        <v>1123.5383999999997</v>
      </c>
      <c r="R5" s="15">
        <v>4</v>
      </c>
      <c r="S5" s="35">
        <f>(Q5-'500 feet'!P5)/'500 feet'!P5</f>
        <v>-0.22580645161290336</v>
      </c>
    </row>
    <row r="6" spans="1:19" ht="12.75">
      <c r="A6" s="10">
        <v>60</v>
      </c>
      <c r="B6" s="10">
        <v>75</v>
      </c>
      <c r="C6" s="16">
        <v>2</v>
      </c>
      <c r="D6" s="32">
        <v>2</v>
      </c>
      <c r="E6" s="15">
        <v>0.5</v>
      </c>
      <c r="F6" s="12">
        <f>1200*G6*I6^2/C6/2/32.17*P6/100</f>
        <v>38.6974530440734</v>
      </c>
      <c r="G6" s="13">
        <f>LOG((0.00015*12/C6/3.7)+5.74/H6^0.9)^-2*0.25</f>
        <v>0.022104237790291744</v>
      </c>
      <c r="H6" s="16">
        <f>7745.8*I6*C6/1</f>
        <v>94924.779</v>
      </c>
      <c r="I6" s="12">
        <f>0.4085*A6/C6^2</f>
        <v>6.1274999999999995</v>
      </c>
      <c r="J6" s="30">
        <f>((64.34*(B6-F6))^0.5)</f>
        <v>48.32914101392986</v>
      </c>
      <c r="K6" s="30">
        <f>0.4085*A6/D6/E6^2</f>
        <v>49.019999999999996</v>
      </c>
      <c r="L6" s="32">
        <f>0.000002929*A6*K6^2/D6*1000</f>
        <v>211.14813034799994</v>
      </c>
      <c r="M6" s="16">
        <f>0.9*0.5*L6*D6</f>
        <v>190.03331731319994</v>
      </c>
      <c r="N6" s="33">
        <f>(M6-'500 feet'!M6)/'500 feet'!M6</f>
        <v>-0.01589152937746056</v>
      </c>
      <c r="O6" s="14">
        <f>M6*0.07*24*30/1000</f>
        <v>9.577679192585279</v>
      </c>
      <c r="P6" s="15">
        <v>500</v>
      </c>
      <c r="Q6" s="16">
        <f>0.5*229.2*K6/R6</f>
        <v>1404.4229999999998</v>
      </c>
      <c r="R6" s="15">
        <v>4</v>
      </c>
      <c r="S6" s="35">
        <f>(Q6-'500 feet'!P6)/'500 feet'!P6</f>
        <v>-0.2105263157894738</v>
      </c>
    </row>
    <row r="7" spans="1:19" ht="12.75">
      <c r="A7" s="10">
        <v>69</v>
      </c>
      <c r="B7" s="10">
        <v>100</v>
      </c>
      <c r="C7" s="16">
        <v>2</v>
      </c>
      <c r="D7" s="32">
        <v>2</v>
      </c>
      <c r="E7" s="15">
        <v>0.5</v>
      </c>
      <c r="F7" s="12">
        <f>1200*G7*I7^2/C7/2/32.17*P7/100</f>
        <v>50.480550773539726</v>
      </c>
      <c r="G7" s="13">
        <f>LOG((0.00015*12/C7/3.7)+5.74/H7^0.9)^-2*0.25</f>
        <v>0.021803266640274814</v>
      </c>
      <c r="H7" s="16">
        <f>7745.8*I7*C7/1</f>
        <v>109163.49584999999</v>
      </c>
      <c r="I7" s="12">
        <f>0.4085*A7/C7^2</f>
        <v>7.046625</v>
      </c>
      <c r="J7" s="30">
        <f>((64.34*(B7-F7))^0.5)</f>
        <v>56.44538389656371</v>
      </c>
      <c r="K7" s="30">
        <f>0.4085*A7/D7/E7^2</f>
        <v>56.373</v>
      </c>
      <c r="L7" s="32">
        <f>0.000002929*A7*K7^2/D7*1000</f>
        <v>321.1299127430145</v>
      </c>
      <c r="M7" s="16">
        <f>0.9*0.5*L7*D7</f>
        <v>289.016921468713</v>
      </c>
      <c r="N7" s="33">
        <f>(M7-'500 feet'!M7)/'500 feet'!M7</f>
        <v>-0.0358840862133737</v>
      </c>
      <c r="O7" s="14">
        <f>M7*0.07*24*30/1000</f>
        <v>14.566452842023137</v>
      </c>
      <c r="P7" s="15">
        <v>500</v>
      </c>
      <c r="Q7" s="16">
        <f>0.5*229.2*K7/R7</f>
        <v>1076.7242999999999</v>
      </c>
      <c r="R7" s="15">
        <v>6</v>
      </c>
      <c r="S7" s="35">
        <f>(Q7-'500 feet'!P7)/'500 feet'!P7</f>
        <v>-0.21590909090909105</v>
      </c>
    </row>
    <row r="8" spans="1:19" ht="12.75">
      <c r="A8" s="10">
        <v>85</v>
      </c>
      <c r="B8" s="10">
        <v>150</v>
      </c>
      <c r="C8" s="16">
        <v>2</v>
      </c>
      <c r="D8" s="32">
        <v>2</v>
      </c>
      <c r="E8" s="15">
        <v>0.5</v>
      </c>
      <c r="F8" s="12">
        <f>1200*G8*I8^2/C8/2/32.17*P8/100</f>
        <v>75.20297602270082</v>
      </c>
      <c r="G8" s="13">
        <f>LOG((0.00015*12/C8/3.7)+5.74/H8^0.9)^-2*0.25</f>
        <v>0.02140389632483395</v>
      </c>
      <c r="H8" s="16">
        <f>7745.8*I8*C8/1</f>
        <v>134476.77025</v>
      </c>
      <c r="I8" s="12">
        <f>0.4085*A8/C8^2</f>
        <v>8.680625</v>
      </c>
      <c r="J8" s="30">
        <f>((64.34*(B8-F8))^0.5)</f>
        <v>69.37175594360741</v>
      </c>
      <c r="K8" s="30">
        <f>0.4085*A8/D8/E8^2</f>
        <v>69.445</v>
      </c>
      <c r="L8" s="32">
        <f>0.000002929*A8*K8^2/D8*1000</f>
        <v>600.3303034720623</v>
      </c>
      <c r="M8" s="16">
        <f>0.9*0.5*L8*D8</f>
        <v>540.297273124856</v>
      </c>
      <c r="N8" s="33">
        <f>(M8-'500 feet'!M8)/'500 feet'!M8</f>
        <v>-0.02497554996697703</v>
      </c>
      <c r="O8" s="14">
        <f>M8*0.07*24*30/1000</f>
        <v>27.230982565492745</v>
      </c>
      <c r="P8" s="15">
        <v>500</v>
      </c>
      <c r="Q8" s="16">
        <f>0.5*229.2*K8/R8</f>
        <v>1326.3994999999998</v>
      </c>
      <c r="R8" s="15">
        <v>6</v>
      </c>
      <c r="S8" s="35">
        <f>(Q8-'500 feet'!P8)/'500 feet'!P8</f>
        <v>-0.21296296296296305</v>
      </c>
    </row>
    <row r="9" spans="1:19" ht="12.75">
      <c r="A9" s="10"/>
      <c r="B9" s="10"/>
      <c r="C9" s="16"/>
      <c r="D9" s="16"/>
      <c r="E9" s="15"/>
      <c r="F9" s="12"/>
      <c r="G9" s="10"/>
      <c r="H9" s="10"/>
      <c r="I9" s="10"/>
      <c r="J9" s="10"/>
      <c r="K9" s="10"/>
      <c r="L9" s="16"/>
      <c r="M9" s="16"/>
      <c r="N9" s="33"/>
      <c r="O9" s="10"/>
      <c r="P9" s="15"/>
      <c r="Q9" s="10"/>
      <c r="R9" s="15"/>
      <c r="S9" s="35"/>
    </row>
    <row r="10" spans="1:19" ht="12.75">
      <c r="A10" s="9" t="s">
        <v>25</v>
      </c>
      <c r="B10" s="10"/>
      <c r="C10" s="16"/>
      <c r="D10" s="16"/>
      <c r="E10" s="15"/>
      <c r="F10" s="12"/>
      <c r="G10" s="12"/>
      <c r="H10" s="12"/>
      <c r="I10" s="12"/>
      <c r="J10" s="12"/>
      <c r="K10" s="12"/>
      <c r="L10" s="16"/>
      <c r="M10" s="16"/>
      <c r="N10" s="33"/>
      <c r="O10" s="14"/>
      <c r="P10" s="15"/>
      <c r="Q10" s="10"/>
      <c r="R10" s="15"/>
      <c r="S10" s="35"/>
    </row>
    <row r="11" spans="1:19" ht="76.5">
      <c r="A11" s="9" t="s">
        <v>0</v>
      </c>
      <c r="B11" s="17" t="s">
        <v>18</v>
      </c>
      <c r="C11" s="20" t="s">
        <v>14</v>
      </c>
      <c r="D11" s="24" t="s">
        <v>15</v>
      </c>
      <c r="E11" s="17" t="s">
        <v>13</v>
      </c>
      <c r="F11" s="23" t="s">
        <v>12</v>
      </c>
      <c r="G11" s="19" t="s">
        <v>1</v>
      </c>
      <c r="H11" s="20" t="s">
        <v>2</v>
      </c>
      <c r="I11" s="18" t="s">
        <v>11</v>
      </c>
      <c r="J11" s="17" t="s">
        <v>10</v>
      </c>
      <c r="K11" s="18" t="s">
        <v>17</v>
      </c>
      <c r="L11" s="24" t="s">
        <v>39</v>
      </c>
      <c r="M11" s="24" t="s">
        <v>40</v>
      </c>
      <c r="N11" s="34" t="s">
        <v>16</v>
      </c>
      <c r="O11" s="22" t="s">
        <v>7</v>
      </c>
      <c r="P11" s="18" t="s">
        <v>8</v>
      </c>
      <c r="Q11" s="20" t="s">
        <v>3</v>
      </c>
      <c r="R11" s="17" t="s">
        <v>4</v>
      </c>
      <c r="S11" s="36" t="s">
        <v>37</v>
      </c>
    </row>
    <row r="12" spans="1:19" ht="12.75">
      <c r="A12" s="10">
        <v>67</v>
      </c>
      <c r="B12" s="10">
        <v>25</v>
      </c>
      <c r="C12" s="16">
        <v>3</v>
      </c>
      <c r="D12" s="32">
        <v>2</v>
      </c>
      <c r="E12" s="15">
        <v>0.625</v>
      </c>
      <c r="F12" s="12">
        <f>1200*G12*I12^2/C12/2/32.17*P12/100</f>
        <v>6.265015666462327</v>
      </c>
      <c r="G12" s="13">
        <f>LOG((0.00015*12/C12/3.7)+5.74/H12^0.9)^-2*0.25</f>
        <v>0.021793376110528735</v>
      </c>
      <c r="H12" s="16">
        <f>7745.8*I12*C12/1</f>
        <v>70666.22436666666</v>
      </c>
      <c r="I12" s="12">
        <f>0.4085*A12/C12^2</f>
        <v>3.0410555555555554</v>
      </c>
      <c r="J12" s="30">
        <f>((64.34*(B12-F12))^0.5)</f>
        <v>34.718999006593116</v>
      </c>
      <c r="K12" s="30">
        <f>0.4085*A12/D12/E12^2</f>
        <v>35.032959999999996</v>
      </c>
      <c r="L12" s="32">
        <f>0.000002929*A12*K12^2/D12*1000</f>
        <v>120.4253300202297</v>
      </c>
      <c r="M12" s="16">
        <f>0.9*0.5*L12*D12</f>
        <v>108.38279701820673</v>
      </c>
      <c r="N12" s="33">
        <f>(M12-'500 feet'!M12)/'500 feet'!M12</f>
        <v>-0.03755840000000015</v>
      </c>
      <c r="O12" s="14">
        <f>M12*0.07*24*30/1000</f>
        <v>5.46249296971762</v>
      </c>
      <c r="P12" s="15">
        <v>500</v>
      </c>
      <c r="Q12" s="16">
        <f>0.5*229.2*K12/R12</f>
        <v>1003.6943039999999</v>
      </c>
      <c r="R12" s="15">
        <v>4</v>
      </c>
      <c r="S12" s="35">
        <f>(Q12-'500 feet'!P12)/'500 feet'!P12</f>
        <v>0.07199999999999995</v>
      </c>
    </row>
    <row r="13" spans="1:19" ht="12.75">
      <c r="A13" s="10">
        <v>95</v>
      </c>
      <c r="B13" s="10">
        <v>50</v>
      </c>
      <c r="C13" s="16">
        <v>3</v>
      </c>
      <c r="D13" s="32">
        <v>2</v>
      </c>
      <c r="E13" s="15">
        <v>0.625</v>
      </c>
      <c r="F13" s="12">
        <f>1200*G13*I13^2/C13/2/32.17*P13/100</f>
        <v>12.039671907350243</v>
      </c>
      <c r="G13" s="13">
        <f>LOG((0.00015*12/C13/3.7)+5.74/H13^0.9)^-2*0.25</f>
        <v>0.020831445154351837</v>
      </c>
      <c r="H13" s="16">
        <f>7745.8*I13*C13/1</f>
        <v>100198.37783333333</v>
      </c>
      <c r="I13" s="12">
        <f>0.4085*A13/C13^2</f>
        <v>4.311944444444444</v>
      </c>
      <c r="J13" s="30">
        <f>((64.34*(B13-F13))^0.5)</f>
        <v>49.4203147448606</v>
      </c>
      <c r="K13" s="30">
        <f>0.4085*A13/D13/E13^2</f>
        <v>49.67359999999999</v>
      </c>
      <c r="L13" s="32">
        <f>0.000002929*A13*K13^2/D13*1000</f>
        <v>343.2924506209023</v>
      </c>
      <c r="M13" s="16">
        <f>0.9*0.5*L13*D13</f>
        <v>308.9632055588121</v>
      </c>
      <c r="N13" s="33">
        <f>(M13-'500 feet'!M13)/'500 feet'!M13</f>
        <v>-0.02645635828475653</v>
      </c>
      <c r="O13" s="14">
        <f>M13*0.07*24*30/1000</f>
        <v>15.57174556016413</v>
      </c>
      <c r="P13" s="15">
        <v>500</v>
      </c>
      <c r="Q13" s="16">
        <f>0.5*229.2*K13/R13</f>
        <v>1423.1486399999997</v>
      </c>
      <c r="R13" s="15">
        <v>4</v>
      </c>
      <c r="S13" s="35">
        <f>(Q13-'500 feet'!P13)/'500 feet'!P13</f>
        <v>0.0761061946902654</v>
      </c>
    </row>
    <row r="14" spans="1:19" ht="12.75">
      <c r="A14" s="10">
        <v>115</v>
      </c>
      <c r="B14" s="10">
        <v>75</v>
      </c>
      <c r="C14" s="16">
        <v>3</v>
      </c>
      <c r="D14" s="32">
        <v>2</v>
      </c>
      <c r="E14" s="15">
        <v>0.625</v>
      </c>
      <c r="F14" s="12">
        <f>1200*G14*I14^2/C14/2/32.17*P14/100</f>
        <v>17.26377634579404</v>
      </c>
      <c r="G14" s="13">
        <f>LOG((0.00015*12/C14/3.7)+5.74/H14^0.9)^-2*0.25</f>
        <v>0.02038412521228625</v>
      </c>
      <c r="H14" s="16">
        <f>7745.8*I14*C14/1</f>
        <v>121292.77316666667</v>
      </c>
      <c r="I14" s="12">
        <f>0.4085*A14/C14^2</f>
        <v>5.219722222222222</v>
      </c>
      <c r="J14" s="30">
        <f>((64.34*(B14-F14))^0.5)</f>
        <v>60.948737722053046</v>
      </c>
      <c r="K14" s="30">
        <f>0.4085*A14/D14/E14^2</f>
        <v>60.1312</v>
      </c>
      <c r="L14" s="32">
        <f>0.000002929*A14*K14^2/D14*1000</f>
        <v>608.9574641645311</v>
      </c>
      <c r="M14" s="16">
        <f>0.9*0.5*L14*D14</f>
        <v>548.061717748078</v>
      </c>
      <c r="N14" s="33">
        <f>(M14-'500 feet'!M14)/'500 feet'!M14</f>
        <v>-0.051851851851851906</v>
      </c>
      <c r="O14" s="14">
        <f>M14*0.07*24*30/1000</f>
        <v>27.62231057450313</v>
      </c>
      <c r="P14" s="15">
        <v>500</v>
      </c>
      <c r="Q14" s="16">
        <f>0.5*229.2*K14/R14</f>
        <v>1148.5059199999998</v>
      </c>
      <c r="R14" s="15">
        <v>6</v>
      </c>
      <c r="S14" s="35">
        <f>(Q14-'500 feet'!P14)/'500 feet'!P14</f>
        <v>0.06666666666666665</v>
      </c>
    </row>
    <row r="15" spans="1:19" ht="12.75">
      <c r="A15" s="10">
        <v>135</v>
      </c>
      <c r="B15" s="10">
        <v>100</v>
      </c>
      <c r="C15" s="16">
        <v>3</v>
      </c>
      <c r="D15" s="32">
        <v>2</v>
      </c>
      <c r="E15" s="15">
        <v>0.625</v>
      </c>
      <c r="F15" s="12">
        <f>1200*G15*I15^2/C15/2/32.17*P15/100</f>
        <v>23.398184539409144</v>
      </c>
      <c r="G15" s="13">
        <f>LOG((0.00015*12/C15/3.7)+5.74/H15^0.9)^-2*0.25</f>
        <v>0.02004779362343995</v>
      </c>
      <c r="H15" s="16">
        <f>7745.8*I15*C15/1</f>
        <v>142387.1685</v>
      </c>
      <c r="I15" s="12">
        <f>0.4085*A15/C15^2</f>
        <v>6.1274999999999995</v>
      </c>
      <c r="J15" s="30">
        <f>((64.34*(B15-F15))^0.5)</f>
        <v>70.20370935167469</v>
      </c>
      <c r="K15" s="30">
        <f>0.4085*A15/D15/E15^2</f>
        <v>70.58879999999999</v>
      </c>
      <c r="L15" s="32">
        <f>0.000002929*A15*K15^2/D15*1000</f>
        <v>985.1327169516286</v>
      </c>
      <c r="M15" s="16">
        <f>0.9*0.5*L15*D15</f>
        <v>886.6194452564657</v>
      </c>
      <c r="N15" s="33">
        <f>(M15-'500 feet'!M15)/'500 feet'!M15</f>
        <v>-0.03407453272377283</v>
      </c>
      <c r="O15" s="14">
        <f>M15*0.07*24*30/1000</f>
        <v>44.685620040925876</v>
      </c>
      <c r="P15" s="15">
        <v>500</v>
      </c>
      <c r="Q15" s="16">
        <f>0.5*229.2*K15/R15</f>
        <v>1348.2460799999997</v>
      </c>
      <c r="R15" s="15">
        <v>6</v>
      </c>
      <c r="S15" s="35">
        <f>(Q15-'500 feet'!P15)/'500 feet'!P15</f>
        <v>0.07329192546583851</v>
      </c>
    </row>
    <row r="16" spans="1:19" ht="12.75">
      <c r="A16" s="10">
        <v>165</v>
      </c>
      <c r="B16" s="10">
        <v>150</v>
      </c>
      <c r="C16" s="16">
        <v>3</v>
      </c>
      <c r="D16" s="32">
        <v>2</v>
      </c>
      <c r="E16" s="15">
        <v>0.625</v>
      </c>
      <c r="F16" s="12">
        <f>1200*G16*I16^2/C16/2/32.17*P16/100</f>
        <v>34.299637360736504</v>
      </c>
      <c r="G16" s="13">
        <f>LOG((0.00015*12/C16/3.7)+5.74/H16^0.9)^-2*0.25</f>
        <v>0.01967313617176329</v>
      </c>
      <c r="H16" s="16">
        <f>7745.8*I16*C16/1</f>
        <v>174028.7615</v>
      </c>
      <c r="I16" s="12">
        <f>0.4085*A16/C16^2</f>
        <v>7.489166666666666</v>
      </c>
      <c r="J16" s="30">
        <f>((64.34*(B16-F16))^0.5)</f>
        <v>86.27955338439237</v>
      </c>
      <c r="K16" s="30">
        <f>0.4085*A16/D16/E16^2</f>
        <v>86.27519999999998</v>
      </c>
      <c r="L16" s="32">
        <f>0.000002929*A16*K16^2/D16*1000</f>
        <v>1798.6442335564022</v>
      </c>
      <c r="M16" s="16">
        <f>0.9*0.5*L16*D16</f>
        <v>1618.779810200762</v>
      </c>
      <c r="N16" s="33">
        <f>(M16-'500 feet'!M16)/'500 feet'!M16</f>
        <v>-0.03733963012661394</v>
      </c>
      <c r="O16" s="14">
        <f>M16*0.07*24*30/1000</f>
        <v>81.58650243411842</v>
      </c>
      <c r="P16" s="15">
        <v>500</v>
      </c>
      <c r="Q16" s="16">
        <f>0.5*229.2*K16/R16</f>
        <v>1647.8563199999996</v>
      </c>
      <c r="R16" s="15">
        <v>6</v>
      </c>
      <c r="S16" s="35">
        <f>(Q16-'500 feet'!P16)/'500 feet'!P16</f>
        <v>0.0720812182741116</v>
      </c>
    </row>
    <row r="17" spans="1:19" ht="12.75">
      <c r="A17" s="10"/>
      <c r="B17" s="10"/>
      <c r="C17" s="16"/>
      <c r="D17" s="16"/>
      <c r="E17" s="15"/>
      <c r="F17" s="12"/>
      <c r="G17" s="10"/>
      <c r="H17" s="10"/>
      <c r="I17" s="12"/>
      <c r="J17" s="12"/>
      <c r="K17" s="12"/>
      <c r="L17" s="16"/>
      <c r="M17" s="16"/>
      <c r="N17" s="33"/>
      <c r="O17" s="14"/>
      <c r="P17" s="15"/>
      <c r="Q17" s="10"/>
      <c r="R17" s="15"/>
      <c r="S17" s="35"/>
    </row>
    <row r="18" spans="1:19" ht="12.75">
      <c r="A18" s="10"/>
      <c r="B18" s="10"/>
      <c r="C18" s="16"/>
      <c r="D18" s="16"/>
      <c r="E18" s="15"/>
      <c r="F18" s="12"/>
      <c r="G18" s="10"/>
      <c r="H18" s="10"/>
      <c r="I18" s="10"/>
      <c r="J18" s="10"/>
      <c r="K18" s="10"/>
      <c r="L18" s="16"/>
      <c r="M18" s="16"/>
      <c r="N18" s="33"/>
      <c r="O18" s="10"/>
      <c r="P18" s="15"/>
      <c r="Q18" s="10"/>
      <c r="R18" s="15"/>
      <c r="S18" s="35"/>
    </row>
    <row r="19" spans="1:19" ht="12.75">
      <c r="A19" s="9" t="s">
        <v>26</v>
      </c>
      <c r="B19" s="10"/>
      <c r="C19" s="16"/>
      <c r="D19" s="16"/>
      <c r="E19" s="15"/>
      <c r="F19" s="12"/>
      <c r="G19" s="12"/>
      <c r="H19" s="12"/>
      <c r="I19" s="12"/>
      <c r="J19" s="12"/>
      <c r="K19" s="12"/>
      <c r="L19" s="16"/>
      <c r="M19" s="16"/>
      <c r="N19" s="33"/>
      <c r="O19" s="14"/>
      <c r="P19" s="15"/>
      <c r="Q19" s="10"/>
      <c r="R19" s="15"/>
      <c r="S19" s="35"/>
    </row>
    <row r="20" spans="1:19" ht="76.5">
      <c r="A20" s="9" t="s">
        <v>0</v>
      </c>
      <c r="B20" s="17" t="s">
        <v>18</v>
      </c>
      <c r="C20" s="20" t="s">
        <v>14</v>
      </c>
      <c r="D20" s="24" t="s">
        <v>15</v>
      </c>
      <c r="E20" s="17" t="s">
        <v>13</v>
      </c>
      <c r="F20" s="23" t="s">
        <v>12</v>
      </c>
      <c r="G20" s="19" t="s">
        <v>1</v>
      </c>
      <c r="H20" s="20" t="s">
        <v>2</v>
      </c>
      <c r="I20" s="18" t="s">
        <v>11</v>
      </c>
      <c r="J20" s="17" t="s">
        <v>10</v>
      </c>
      <c r="K20" s="18" t="s">
        <v>17</v>
      </c>
      <c r="L20" s="24" t="s">
        <v>39</v>
      </c>
      <c r="M20" s="24" t="s">
        <v>40</v>
      </c>
      <c r="N20" s="34" t="s">
        <v>16</v>
      </c>
      <c r="O20" s="22" t="s">
        <v>7</v>
      </c>
      <c r="P20" s="18" t="s">
        <v>8</v>
      </c>
      <c r="Q20" s="20" t="s">
        <v>3</v>
      </c>
      <c r="R20" s="17" t="s">
        <v>4</v>
      </c>
      <c r="S20" s="36" t="s">
        <v>37</v>
      </c>
    </row>
    <row r="21" spans="1:19" ht="12.75">
      <c r="A21" s="10">
        <v>162</v>
      </c>
      <c r="B21" s="10">
        <v>25</v>
      </c>
      <c r="C21" s="16">
        <v>4</v>
      </c>
      <c r="D21" s="32">
        <v>2</v>
      </c>
      <c r="E21" s="15">
        <v>1</v>
      </c>
      <c r="F21" s="12">
        <f>1200*G21*I21^2/C21/2/32.17*P21/100</f>
        <v>7.806735153962739</v>
      </c>
      <c r="G21" s="13">
        <f>LOG((0.00015*12/C21/3.7)+5.74/H21^0.9)^-2*0.25</f>
        <v>0.01957424672136002</v>
      </c>
      <c r="H21" s="16">
        <f>7745.8*I21*C21/1</f>
        <v>128148.45164999999</v>
      </c>
      <c r="I21" s="12">
        <f>0.4085*A21/C21^2</f>
        <v>4.1360624999999995</v>
      </c>
      <c r="J21" s="30">
        <f>((64.34*(B21-F21))^0.5)</f>
        <v>33.25980547438661</v>
      </c>
      <c r="K21" s="30">
        <f>0.4085*A21/D21/E21^2</f>
        <v>33.088499999999996</v>
      </c>
      <c r="L21" s="32">
        <f>0.000002929*A21*K21^2/D21*1000</f>
        <v>259.7517906024802</v>
      </c>
      <c r="M21" s="16">
        <f>0.9*0.5*L21*D21</f>
        <v>233.77661154223216</v>
      </c>
      <c r="N21" s="33">
        <f>(M21-'500 feet'!M21)/'500 feet'!M21</f>
        <v>0.00400515451895032</v>
      </c>
      <c r="O21" s="14">
        <f>M21*0.07*24*30/1000</f>
        <v>11.782341221728501</v>
      </c>
      <c r="P21" s="15">
        <v>500</v>
      </c>
      <c r="Q21" s="16">
        <f>0.5*229.2*K21/R21</f>
        <v>947.9855249999998</v>
      </c>
      <c r="R21" s="15">
        <v>4</v>
      </c>
      <c r="S21" s="35">
        <f>(Q21-'500 feet'!P21)/'500 feet'!P21</f>
        <v>0.04142857142857133</v>
      </c>
    </row>
    <row r="22" spans="1:19" ht="12.75">
      <c r="A22" s="10">
        <v>230</v>
      </c>
      <c r="B22" s="10">
        <v>50</v>
      </c>
      <c r="C22" s="16">
        <v>4</v>
      </c>
      <c r="D22" s="32">
        <v>2</v>
      </c>
      <c r="E22" s="15">
        <v>1</v>
      </c>
      <c r="F22" s="12">
        <f>1200*G22*I22^2/C22/2/32.17*P22/100</f>
        <v>15.144196795670862</v>
      </c>
      <c r="G22" s="13">
        <f>LOG((0.00015*12/C22/3.7)+5.74/H22^0.9)^-2*0.25</f>
        <v>0.018838061639577533</v>
      </c>
      <c r="H22" s="16">
        <f>7745.8*I22*C22/1</f>
        <v>181939.15975</v>
      </c>
      <c r="I22" s="12">
        <f>0.4085*A22/C22^2</f>
        <v>5.8721875</v>
      </c>
      <c r="J22" s="30">
        <f>((64.34*(B22-F22))^0.5)</f>
        <v>47.356334087073684</v>
      </c>
      <c r="K22" s="30">
        <f>0.4085*A22/D22/E22^2</f>
        <v>46.9775</v>
      </c>
      <c r="L22" s="32">
        <f>0.000002929*A22*K22^2/D22*1000</f>
        <v>743.3562794977186</v>
      </c>
      <c r="M22" s="16">
        <f>0.9*0.5*L22*D22</f>
        <v>669.0206515479467</v>
      </c>
      <c r="N22" s="33">
        <f>(M22-'500 feet'!M22)/'500 feet'!M22</f>
        <v>-0.014473000000000106</v>
      </c>
      <c r="O22" s="14">
        <f>M22*0.07*24*30/1000</f>
        <v>33.718640838016526</v>
      </c>
      <c r="P22" s="15">
        <v>500</v>
      </c>
      <c r="Q22" s="16">
        <f>0.5*229.2*K22/R22</f>
        <v>1345.9053749999998</v>
      </c>
      <c r="R22" s="15">
        <v>4</v>
      </c>
      <c r="S22" s="35">
        <f>(Q22-'500 feet'!P22)/'500 feet'!P22</f>
        <v>0.03500000000000006</v>
      </c>
    </row>
    <row r="23" spans="1:19" ht="12.75">
      <c r="A23" s="10">
        <v>285</v>
      </c>
      <c r="B23" s="10">
        <v>75</v>
      </c>
      <c r="C23" s="16">
        <v>4</v>
      </c>
      <c r="D23" s="32">
        <v>2</v>
      </c>
      <c r="E23" s="15">
        <v>1</v>
      </c>
      <c r="F23" s="12">
        <f>1200*G23*I23^2/C23/2/32.17*P23/100</f>
        <v>22.78768404545901</v>
      </c>
      <c r="G23" s="13">
        <f>LOG((0.00015*12/C23/3.7)+5.74/H23^0.9)^-2*0.25</f>
        <v>0.018461037748908327</v>
      </c>
      <c r="H23" s="16">
        <f>7745.8*I23*C23/1</f>
        <v>225446.350125</v>
      </c>
      <c r="I23" s="12">
        <f>0.4085*A23/C23^2</f>
        <v>7.27640625</v>
      </c>
      <c r="J23" s="30">
        <f>((64.34*(B23-F23))^0.5)</f>
        <v>57.95981718842087</v>
      </c>
      <c r="K23" s="30">
        <f>0.4085*A23/D23/E23^2</f>
        <v>58.21125</v>
      </c>
      <c r="L23" s="32">
        <f>0.000002929*A23*K23^2/D23*1000</f>
        <v>1414.3213145087225</v>
      </c>
      <c r="M23" s="16">
        <f>0.9*0.5*L23*D23</f>
        <v>1272.8891830578502</v>
      </c>
      <c r="N23" s="33">
        <f>(M23-'500 feet'!M23)/'500 feet'!M23</f>
        <v>0.022528320908813383</v>
      </c>
      <c r="O23" s="14">
        <f>M23*0.07*24*30/1000</f>
        <v>64.15361482611564</v>
      </c>
      <c r="P23" s="15">
        <v>500</v>
      </c>
      <c r="Q23" s="16">
        <f>0.5*229.2*K23/R23</f>
        <v>1667.7523125</v>
      </c>
      <c r="R23" s="15">
        <v>4</v>
      </c>
      <c r="S23" s="35">
        <f>(Q23-'500 feet'!P23)/'500 feet'!P23</f>
        <v>0.047794117647058994</v>
      </c>
    </row>
    <row r="24" spans="1:19" ht="12.75">
      <c r="A24" s="10">
        <v>330</v>
      </c>
      <c r="B24" s="10">
        <v>100</v>
      </c>
      <c r="C24" s="16">
        <v>4</v>
      </c>
      <c r="D24" s="32">
        <v>2</v>
      </c>
      <c r="E24" s="15">
        <v>1</v>
      </c>
      <c r="F24" s="12">
        <f>1200*G24*I24^2/C24/2/32.17*P24/100</f>
        <v>30.172952673595518</v>
      </c>
      <c r="G24" s="13">
        <f>LOG((0.00015*12/C24/3.7)+5.74/H24^0.9)^-2*0.25</f>
        <v>0.018232052926348</v>
      </c>
      <c r="H24" s="16">
        <f>7745.8*I24*C24/1</f>
        <v>261043.14224999998</v>
      </c>
      <c r="I24" s="12">
        <f>0.4085*A24/C24^2</f>
        <v>8.425312499999999</v>
      </c>
      <c r="J24" s="30">
        <f>((64.34*(B24-F24))^0.5)</f>
        <v>67.02739906173343</v>
      </c>
      <c r="K24" s="30">
        <f>0.4085*A24/D24/E24^2</f>
        <v>67.40249999999999</v>
      </c>
      <c r="L24" s="32">
        <f>0.000002929*A24*K24^2/D24*1000</f>
        <v>2195.6106366655304</v>
      </c>
      <c r="M24" s="16">
        <f>0.9*0.5*L24*D24</f>
        <v>1976.0495729989773</v>
      </c>
      <c r="N24" s="33">
        <f>(M24-'500 feet'!M24)/'500 feet'!M24</f>
        <v>0.01662738781428866</v>
      </c>
      <c r="O24" s="14">
        <f>M24*0.07*24*30/1000</f>
        <v>99.59289847914847</v>
      </c>
      <c r="P24" s="15">
        <v>500</v>
      </c>
      <c r="Q24" s="16">
        <f>0.5*229.2*K24/R24</f>
        <v>1287.3877499999996</v>
      </c>
      <c r="R24" s="15">
        <v>6</v>
      </c>
      <c r="S24" s="35">
        <f>(Q24-'500 feet'!P24)/'500 feet'!P24</f>
        <v>0.045774647887323675</v>
      </c>
    </row>
    <row r="25" spans="1:19" ht="12.75">
      <c r="A25" s="10">
        <v>405</v>
      </c>
      <c r="B25" s="10">
        <v>150</v>
      </c>
      <c r="C25" s="16">
        <v>4</v>
      </c>
      <c r="D25" s="32">
        <v>2</v>
      </c>
      <c r="E25" s="15">
        <v>1</v>
      </c>
      <c r="F25" s="12">
        <f>1200*G25*I25^2/C25/2/32.17*P25/100</f>
        <v>44.73822029768044</v>
      </c>
      <c r="G25" s="13">
        <f>LOG((0.00015*12/C25/3.7)+5.74/H25^0.9)^-2*0.25</f>
        <v>0.017947927162085632</v>
      </c>
      <c r="H25" s="16">
        <f>7745.8*I25*C25/1</f>
        <v>320371.129125</v>
      </c>
      <c r="I25" s="12">
        <f>0.4085*A25/C25^2</f>
        <v>10.34015625</v>
      </c>
      <c r="J25" s="30">
        <f>((64.34*(B25-F25))^0.5)</f>
        <v>82.29546102943492</v>
      </c>
      <c r="K25" s="30">
        <f>0.4085*A25/D25/E25^2</f>
        <v>82.72125</v>
      </c>
      <c r="L25" s="32">
        <f>0.000002929*A25*K25^2/D25*1000</f>
        <v>4058.621728163753</v>
      </c>
      <c r="M25" s="16">
        <f>0.9*0.5*L25*D25</f>
        <v>3652.7595553473775</v>
      </c>
      <c r="N25" s="33">
        <f>(M25-'500 feet'!M25)/'500 feet'!M25</f>
        <v>0.007455341040531467</v>
      </c>
      <c r="O25" s="14">
        <f>M25*0.07*24*30/1000</f>
        <v>184.09908158950785</v>
      </c>
      <c r="P25" s="15">
        <v>500</v>
      </c>
      <c r="Q25" s="16">
        <f>0.5*229.2*K25/R25</f>
        <v>1184.9819062499998</v>
      </c>
      <c r="R25" s="15">
        <v>8</v>
      </c>
      <c r="S25" s="35">
        <f>(Q25-'500 feet'!P25)/'500 feet'!P25</f>
        <v>0.042620137299771</v>
      </c>
    </row>
    <row r="26" spans="1:19" ht="12.75">
      <c r="A26" s="10"/>
      <c r="B26" s="10"/>
      <c r="C26" s="16"/>
      <c r="D26" s="16"/>
      <c r="E26" s="15"/>
      <c r="F26" s="12"/>
      <c r="G26" s="10"/>
      <c r="H26" s="10"/>
      <c r="I26" s="10"/>
      <c r="J26" s="10"/>
      <c r="K26" s="10"/>
      <c r="L26" s="16"/>
      <c r="M26" s="16"/>
      <c r="N26" s="33"/>
      <c r="O26" s="10"/>
      <c r="P26" s="15"/>
      <c r="Q26" s="10"/>
      <c r="R26" s="15"/>
      <c r="S26" s="35"/>
    </row>
    <row r="27" spans="1:19" ht="12.75">
      <c r="A27" s="10"/>
      <c r="B27" s="10"/>
      <c r="C27" s="16"/>
      <c r="D27" s="16"/>
      <c r="E27" s="15"/>
      <c r="F27" s="12"/>
      <c r="G27" s="10"/>
      <c r="H27" s="10"/>
      <c r="I27" s="10"/>
      <c r="J27" s="10"/>
      <c r="K27" s="10"/>
      <c r="L27" s="16"/>
      <c r="M27" s="16"/>
      <c r="N27" s="33"/>
      <c r="O27" s="10"/>
      <c r="P27" s="15"/>
      <c r="Q27" s="10"/>
      <c r="R27" s="15"/>
      <c r="S27" s="35"/>
    </row>
    <row r="28" spans="1:19" ht="12.75">
      <c r="A28" s="9" t="s">
        <v>19</v>
      </c>
      <c r="B28" s="10"/>
      <c r="C28" s="16"/>
      <c r="D28" s="16"/>
      <c r="E28" s="15"/>
      <c r="F28" s="12"/>
      <c r="G28" s="12"/>
      <c r="H28" s="12"/>
      <c r="I28" s="12"/>
      <c r="J28" s="12"/>
      <c r="K28" s="12"/>
      <c r="L28" s="16"/>
      <c r="M28" s="16"/>
      <c r="N28" s="33"/>
      <c r="O28" s="14"/>
      <c r="P28" s="15"/>
      <c r="Q28" s="10"/>
      <c r="R28" s="15"/>
      <c r="S28" s="35"/>
    </row>
    <row r="29" spans="1:19" ht="76.5">
      <c r="A29" s="9" t="s">
        <v>0</v>
      </c>
      <c r="B29" s="17" t="s">
        <v>18</v>
      </c>
      <c r="C29" s="20" t="s">
        <v>14</v>
      </c>
      <c r="D29" s="24" t="s">
        <v>15</v>
      </c>
      <c r="E29" s="17" t="s">
        <v>13</v>
      </c>
      <c r="F29" s="23" t="s">
        <v>12</v>
      </c>
      <c r="G29" s="19" t="s">
        <v>1</v>
      </c>
      <c r="H29" s="20" t="s">
        <v>2</v>
      </c>
      <c r="I29" s="18" t="s">
        <v>11</v>
      </c>
      <c r="J29" s="17" t="s">
        <v>10</v>
      </c>
      <c r="K29" s="18" t="s">
        <v>17</v>
      </c>
      <c r="L29" s="24" t="s">
        <v>39</v>
      </c>
      <c r="M29" s="24" t="s">
        <v>40</v>
      </c>
      <c r="N29" s="34" t="s">
        <v>16</v>
      </c>
      <c r="O29" s="22" t="s">
        <v>7</v>
      </c>
      <c r="P29" s="18" t="s">
        <v>8</v>
      </c>
      <c r="Q29" s="20" t="s">
        <v>3</v>
      </c>
      <c r="R29" s="17" t="s">
        <v>4</v>
      </c>
      <c r="S29" s="36" t="s">
        <v>37</v>
      </c>
    </row>
    <row r="30" spans="1:19" ht="12.75">
      <c r="A30" s="10">
        <v>390</v>
      </c>
      <c r="B30" s="10">
        <v>25</v>
      </c>
      <c r="C30" s="16">
        <v>6</v>
      </c>
      <c r="D30" s="32">
        <v>2</v>
      </c>
      <c r="E30" s="15">
        <v>1.5</v>
      </c>
      <c r="F30" s="12">
        <f>1200*G30*I30^2/C30/2/32.17*P30/100</f>
        <v>5.3979536051063235</v>
      </c>
      <c r="G30" s="13">
        <f>LOG((0.00015*12/C30/3.7)+5.74/H30^0.9)^-2*0.25</f>
        <v>0.017733802597040653</v>
      </c>
      <c r="H30" s="16">
        <f>7745.8*I30*C30/1</f>
        <v>205670.35450000002</v>
      </c>
      <c r="I30" s="12">
        <f>0.4085*A30/C30^2</f>
        <v>4.425416666666667</v>
      </c>
      <c r="J30" s="30">
        <f>((64.34*(B30-F30))^0.5)</f>
        <v>35.513316728340925</v>
      </c>
      <c r="K30" s="30">
        <f>0.4085*A30/D30/E30^2</f>
        <v>35.403333333333336</v>
      </c>
      <c r="L30" s="32">
        <f>0.000002929*A30*K30^2/D30*1000</f>
        <v>715.8833987261667</v>
      </c>
      <c r="M30" s="16">
        <f>0.9*0.5*L30*D30</f>
        <v>644.29505885355</v>
      </c>
      <c r="N30" s="33">
        <f>(M30-'500 feet'!M30)/'500 feet'!M30</f>
        <v>0.4921705007106292</v>
      </c>
      <c r="O30" s="14">
        <f>M30*0.07*24*30/1000</f>
        <v>32.47247096621893</v>
      </c>
      <c r="P30" s="15">
        <v>500</v>
      </c>
      <c r="Q30" s="16">
        <f>0.5*229.2*K30/R30</f>
        <v>1014.3055</v>
      </c>
      <c r="R30" s="15">
        <v>4</v>
      </c>
      <c r="S30" s="35">
        <f>(Q30-'500 feet'!P30)/'500 feet'!P30</f>
        <v>-0.0930232558139534</v>
      </c>
    </row>
    <row r="31" spans="1:19" ht="12.75">
      <c r="A31" s="10">
        <v>555</v>
      </c>
      <c r="B31" s="10">
        <v>50</v>
      </c>
      <c r="C31" s="16">
        <v>6</v>
      </c>
      <c r="D31" s="32">
        <v>2</v>
      </c>
      <c r="E31" s="15">
        <v>1.5</v>
      </c>
      <c r="F31" s="12">
        <f>1200*G31*I31^2/C31/2/32.17*P31/100</f>
        <v>10.54129420793415</v>
      </c>
      <c r="G31" s="13">
        <f>LOG((0.00015*12/C31/3.7)+5.74/H31^0.9)^-2*0.25</f>
        <v>0.017100543152291908</v>
      </c>
      <c r="H31" s="16">
        <f>7745.8*I31*C31/1</f>
        <v>292684.73524999997</v>
      </c>
      <c r="I31" s="12">
        <f>0.4085*A31/C31^2</f>
        <v>6.297708333333333</v>
      </c>
      <c r="J31" s="30">
        <f>((64.34*(B31-F31))^0.5)</f>
        <v>50.38623949712378</v>
      </c>
      <c r="K31" s="30">
        <f>0.4085*A31/D31/E31^2</f>
        <v>50.38166666666666</v>
      </c>
      <c r="L31" s="32">
        <f>0.000002929*A31*K31^2/D31*1000</f>
        <v>2063.1339210102706</v>
      </c>
      <c r="M31" s="16">
        <f>0.9*0.5*L31*D31</f>
        <v>1856.8205289092436</v>
      </c>
      <c r="N31" s="33">
        <f>(M31-'500 feet'!M31)/'500 feet'!M31</f>
        <v>0.5829062500000001</v>
      </c>
      <c r="O31" s="14">
        <f>M31*0.07*24*30/1000</f>
        <v>93.58375465702589</v>
      </c>
      <c r="P31" s="15">
        <v>500</v>
      </c>
      <c r="Q31" s="16">
        <f>0.5*229.2*K31/R31</f>
        <v>1443.4347499999997</v>
      </c>
      <c r="R31" s="15">
        <v>4</v>
      </c>
      <c r="S31" s="35">
        <f>(Q31-'500 feet'!P31)/'500 feet'!P31</f>
        <v>-0.07500000000000023</v>
      </c>
    </row>
    <row r="32" spans="1:19" ht="12.75">
      <c r="A32" s="10">
        <v>680</v>
      </c>
      <c r="B32" s="10">
        <v>75</v>
      </c>
      <c r="C32" s="16">
        <v>6</v>
      </c>
      <c r="D32" s="32">
        <v>2</v>
      </c>
      <c r="E32" s="15">
        <v>1.5</v>
      </c>
      <c r="F32" s="12">
        <f>1200*G32*I32^2/C32/2/32.17*P32/100</f>
        <v>15.540792938687549</v>
      </c>
      <c r="G32" s="13">
        <f>LOG((0.00015*12/C32/3.7)+5.74/H32^0.9)^-2*0.25</f>
        <v>0.01679412127459555</v>
      </c>
      <c r="H32" s="16">
        <f>7745.8*I32*C32/1</f>
        <v>358604.72066666663</v>
      </c>
      <c r="I32" s="12">
        <f>0.4085*A32/C32^2</f>
        <v>7.71611111111111</v>
      </c>
      <c r="J32" s="30">
        <f>((64.34*(B32-F32))^0.5)</f>
        <v>61.85147841664614</v>
      </c>
      <c r="K32" s="30">
        <f>0.4085*A32/D32/E32^2</f>
        <v>61.72888888888888</v>
      </c>
      <c r="L32" s="32">
        <f>0.000002929*A32*K32^2/D32*1000</f>
        <v>3794.6804367616774</v>
      </c>
      <c r="M32" s="16">
        <f>0.9*0.5*L32*D32</f>
        <v>3415.2123930855096</v>
      </c>
      <c r="N32" s="33">
        <f>(M32-'500 feet'!M32)/'500 feet'!M32</f>
        <v>0.5518922867352376</v>
      </c>
      <c r="O32" s="14">
        <f>M32*0.07*24*30/1000</f>
        <v>172.1267046115097</v>
      </c>
      <c r="P32" s="15">
        <v>500</v>
      </c>
      <c r="Q32" s="16">
        <f>0.5*229.2*K32/R32</f>
        <v>1179.0217777777775</v>
      </c>
      <c r="R32" s="15">
        <v>6</v>
      </c>
      <c r="S32" s="35">
        <f>(Q32-'500 feet'!P32)/'500 feet'!P32</f>
        <v>-0.08108108108108111</v>
      </c>
    </row>
    <row r="33" spans="1:19" ht="12.75">
      <c r="A33" s="10">
        <v>790</v>
      </c>
      <c r="B33" s="10">
        <v>100</v>
      </c>
      <c r="C33" s="16">
        <v>6</v>
      </c>
      <c r="D33" s="32">
        <v>2</v>
      </c>
      <c r="E33" s="15">
        <v>1.5</v>
      </c>
      <c r="F33" s="12">
        <f>1200*G33*I33^2/C33/2/32.17*P33/100</f>
        <v>20.723576949829592</v>
      </c>
      <c r="G33" s="13">
        <f>LOG((0.00015*12/C33/3.7)+5.74/H33^0.9)^-2*0.25</f>
        <v>0.016592524661997562</v>
      </c>
      <c r="H33" s="16">
        <f>7745.8*I33*C33/1</f>
        <v>416614.3078333333</v>
      </c>
      <c r="I33" s="12">
        <f>0.4085*A33/C33^2</f>
        <v>8.964305555555555</v>
      </c>
      <c r="J33" s="30">
        <f>((64.34*(B33-F33))^0.5)</f>
        <v>71.41880045931859</v>
      </c>
      <c r="K33" s="30">
        <f>0.4085*A33/D33/E33^2</f>
        <v>71.71444444444444</v>
      </c>
      <c r="L33" s="32">
        <f>0.000002929*A33*K33^2/D33*1000</f>
        <v>5950.175070796042</v>
      </c>
      <c r="M33" s="16">
        <f>0.9*0.5*L33*D33</f>
        <v>5355.157563716438</v>
      </c>
      <c r="N33" s="33">
        <f>(M33-'500 feet'!M33)/'500 feet'!M33</f>
        <v>0.6056633421534708</v>
      </c>
      <c r="O33" s="14">
        <f>M33*0.07*24*30/1000</f>
        <v>269.8999412113085</v>
      </c>
      <c r="P33" s="15">
        <v>500</v>
      </c>
      <c r="Q33" s="16">
        <f>0.5*229.2*K33/R33</f>
        <v>1369.7458888888887</v>
      </c>
      <c r="R33" s="15">
        <v>6</v>
      </c>
      <c r="S33" s="35">
        <f>(Q33-'500 feet'!P33)/'500 feet'!P33</f>
        <v>-0.07058823529411767</v>
      </c>
    </row>
    <row r="34" spans="1:19" ht="12.75">
      <c r="A34" s="10">
        <v>970</v>
      </c>
      <c r="B34" s="10">
        <v>150</v>
      </c>
      <c r="C34" s="16">
        <v>6</v>
      </c>
      <c r="D34" s="32">
        <v>2</v>
      </c>
      <c r="E34" s="15">
        <v>1.5</v>
      </c>
      <c r="F34" s="12">
        <f>1200*G34*I34^2/C34/2/32.17*P34/100</f>
        <v>30.781823661695785</v>
      </c>
      <c r="G34" s="13">
        <f>LOG((0.00015*12/C34/3.7)+5.74/H34^0.9)^-2*0.25</f>
        <v>0.01634755524749871</v>
      </c>
      <c r="H34" s="16">
        <f>7745.8*I34*C34/1</f>
        <v>511539.08683333325</v>
      </c>
      <c r="I34" s="12">
        <f>0.4085*A34/C34^2</f>
        <v>11.006805555555554</v>
      </c>
      <c r="J34" s="30">
        <f>((64.34*(B34-F34))^0.5)</f>
        <v>87.58137624864372</v>
      </c>
      <c r="K34" s="30">
        <f>0.4085*A34/D34/E34^2</f>
        <v>88.05444444444443</v>
      </c>
      <c r="L34" s="32">
        <f>0.000002929*A34*K34^2/D34*1000</f>
        <v>11014.471740346371</v>
      </c>
      <c r="M34" s="16">
        <f>0.9*0.5*L34*D34</f>
        <v>9913.024566311735</v>
      </c>
      <c r="N34" s="33">
        <f>(M34-'500 feet'!M34)/'500 feet'!M34</f>
        <v>0.5768025051290353</v>
      </c>
      <c r="O34" s="14">
        <f>M34*0.07*24*30/1000</f>
        <v>499.61643814211146</v>
      </c>
      <c r="P34" s="15">
        <v>500</v>
      </c>
      <c r="Q34" s="16">
        <f>0.5*229.2*K34/R34</f>
        <v>1261.3799166666663</v>
      </c>
      <c r="R34" s="15">
        <v>8</v>
      </c>
      <c r="S34" s="35">
        <f>(Q34-'500 feet'!P34)/'500 feet'!P34</f>
        <v>-0.07619047619047638</v>
      </c>
    </row>
    <row r="35" spans="1:19" ht="12.75">
      <c r="A35" s="10"/>
      <c r="B35" s="10"/>
      <c r="C35" s="16"/>
      <c r="D35" s="16"/>
      <c r="E35" s="15"/>
      <c r="F35" s="12"/>
      <c r="G35" s="10"/>
      <c r="H35" s="10"/>
      <c r="I35" s="10"/>
      <c r="J35" s="10"/>
      <c r="K35" s="10"/>
      <c r="L35" s="16"/>
      <c r="M35" s="16"/>
      <c r="N35" s="33"/>
      <c r="O35" s="10"/>
      <c r="P35" s="15"/>
      <c r="Q35" s="10"/>
      <c r="R35" s="15"/>
      <c r="S35" s="35"/>
    </row>
    <row r="36" spans="1:19" ht="12.75">
      <c r="A36" s="10"/>
      <c r="B36" s="10"/>
      <c r="C36" s="16"/>
      <c r="D36" s="16"/>
      <c r="E36" s="15"/>
      <c r="F36" s="12"/>
      <c r="G36" s="10"/>
      <c r="H36" s="10"/>
      <c r="I36" s="10"/>
      <c r="J36" s="10"/>
      <c r="K36" s="10"/>
      <c r="L36" s="16"/>
      <c r="M36" s="16"/>
      <c r="N36" s="33"/>
      <c r="O36" s="10"/>
      <c r="P36" s="15"/>
      <c r="Q36" s="10"/>
      <c r="R36" s="15"/>
      <c r="S36" s="35"/>
    </row>
    <row r="37" spans="1:19" ht="12.75">
      <c r="A37" s="10"/>
      <c r="B37" s="10"/>
      <c r="C37" s="16"/>
      <c r="D37" s="16"/>
      <c r="E37" s="15"/>
      <c r="F37" s="12"/>
      <c r="G37" s="10"/>
      <c r="H37" s="10"/>
      <c r="I37" s="10"/>
      <c r="J37" s="10"/>
      <c r="K37" s="10"/>
      <c r="L37" s="16"/>
      <c r="M37" s="16"/>
      <c r="N37" s="33"/>
      <c r="O37" s="10"/>
      <c r="P37" s="15"/>
      <c r="Q37" s="10"/>
      <c r="R37" s="15"/>
      <c r="S37" s="35"/>
    </row>
    <row r="38" spans="1:19" ht="12.75">
      <c r="A38" s="10"/>
      <c r="B38" s="10"/>
      <c r="C38" s="16"/>
      <c r="D38" s="16"/>
      <c r="E38" s="15"/>
      <c r="F38" s="12"/>
      <c r="G38" s="10"/>
      <c r="H38" s="10"/>
      <c r="I38" s="10"/>
      <c r="J38" s="10"/>
      <c r="K38" s="10"/>
      <c r="L38" s="16"/>
      <c r="M38" s="16"/>
      <c r="N38" s="33"/>
      <c r="O38" s="10"/>
      <c r="P38" s="15"/>
      <c r="Q38" s="10"/>
      <c r="R38" s="15"/>
      <c r="S38" s="35"/>
    </row>
  </sheetData>
  <printOptions/>
  <pageMargins left="0.75" right="0.75" top="1" bottom="0.43" header="0.5" footer="0.33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workbookViewId="0" topLeftCell="A9">
      <selection activeCell="A29" sqref="A29"/>
    </sheetView>
  </sheetViews>
  <sheetFormatPr defaultColWidth="9.140625" defaultRowHeight="12.75"/>
  <cols>
    <col min="2" max="2" width="8.28125" style="0" customWidth="1"/>
    <col min="3" max="3" width="11.8515625" style="0" customWidth="1"/>
    <col min="4" max="4" width="8.28125" style="0" customWidth="1"/>
    <col min="5" max="5" width="7.57421875" style="7" customWidth="1"/>
    <col min="6" max="6" width="6.8515625" style="1" customWidth="1"/>
    <col min="7" max="7" width="2.00390625" style="0" customWidth="1"/>
    <col min="8" max="8" width="2.140625" style="0" customWidth="1"/>
    <col min="12" max="13" width="9.140625" style="5" customWidth="1"/>
    <col min="14" max="14" width="11.28125" style="0" customWidth="1"/>
    <col min="16" max="16" width="9.140625" style="7" customWidth="1"/>
    <col min="18" max="18" width="7.28125" style="7" customWidth="1"/>
  </cols>
  <sheetData>
    <row r="1" spans="1:19" ht="15.75">
      <c r="A1" s="26" t="s">
        <v>35</v>
      </c>
      <c r="B1" s="10"/>
      <c r="C1" s="10"/>
      <c r="D1" s="10"/>
      <c r="E1" s="15"/>
      <c r="F1" s="12"/>
      <c r="G1" s="10"/>
      <c r="H1" s="10"/>
      <c r="I1" s="10"/>
      <c r="J1" s="10"/>
      <c r="K1" s="10"/>
      <c r="L1" s="16"/>
      <c r="M1" s="16"/>
      <c r="N1" s="10"/>
      <c r="O1" s="10"/>
      <c r="P1" s="15"/>
      <c r="Q1" s="10"/>
      <c r="R1" s="15"/>
      <c r="S1" s="10"/>
    </row>
    <row r="2" spans="1:19" ht="12.75">
      <c r="A2" s="9" t="s">
        <v>41</v>
      </c>
      <c r="B2" s="10"/>
      <c r="C2" s="12"/>
      <c r="D2" s="16"/>
      <c r="E2" s="15"/>
      <c r="F2" s="12"/>
      <c r="G2" s="12"/>
      <c r="H2" s="12"/>
      <c r="I2" s="12"/>
      <c r="J2" s="12"/>
      <c r="K2" s="12"/>
      <c r="L2" s="16"/>
      <c r="M2" s="16"/>
      <c r="N2" s="33"/>
      <c r="O2" s="14"/>
      <c r="P2" s="15"/>
      <c r="Q2" s="10"/>
      <c r="R2" s="15"/>
      <c r="S2" s="10"/>
    </row>
    <row r="3" spans="1:19" ht="76.5">
      <c r="A3" s="9" t="s">
        <v>0</v>
      </c>
      <c r="B3" s="17" t="s">
        <v>18</v>
      </c>
      <c r="C3" s="23" t="s">
        <v>14</v>
      </c>
      <c r="D3" s="24" t="s">
        <v>15</v>
      </c>
      <c r="E3" s="17" t="s">
        <v>13</v>
      </c>
      <c r="F3" s="23" t="s">
        <v>12</v>
      </c>
      <c r="G3" s="19" t="s">
        <v>1</v>
      </c>
      <c r="H3" s="20" t="s">
        <v>2</v>
      </c>
      <c r="I3" s="18" t="s">
        <v>11</v>
      </c>
      <c r="J3" s="17" t="s">
        <v>10</v>
      </c>
      <c r="K3" s="18" t="s">
        <v>17</v>
      </c>
      <c r="L3" s="24" t="s">
        <v>39</v>
      </c>
      <c r="M3" s="24" t="s">
        <v>40</v>
      </c>
      <c r="N3" s="34" t="s">
        <v>16</v>
      </c>
      <c r="O3" s="22" t="s">
        <v>7</v>
      </c>
      <c r="P3" s="18" t="s">
        <v>8</v>
      </c>
      <c r="Q3" s="20" t="s">
        <v>3</v>
      </c>
      <c r="R3" s="17" t="s">
        <v>4</v>
      </c>
      <c r="S3" s="36" t="s">
        <v>37</v>
      </c>
    </row>
    <row r="4" spans="1:19" ht="12.75">
      <c r="A4" s="10">
        <v>31</v>
      </c>
      <c r="B4" s="10">
        <v>25</v>
      </c>
      <c r="C4" s="12">
        <v>2</v>
      </c>
      <c r="D4" s="32">
        <v>3</v>
      </c>
      <c r="E4" s="15">
        <v>0.375</v>
      </c>
      <c r="F4" s="12">
        <f>1200*G4*I4^2/C4/2/32.17*P4/100</f>
        <v>11.193720649097845</v>
      </c>
      <c r="G4" s="13">
        <f>LOG((0.00015*12/C4/3.7)+5.74/H4^0.9)^-2*0.25</f>
        <v>0.023952273361978214</v>
      </c>
      <c r="H4" s="16">
        <f>7745.8*I4*C4/1</f>
        <v>49044.46915</v>
      </c>
      <c r="I4" s="12">
        <f>0.4085*A4/C4^2</f>
        <v>3.1658749999999998</v>
      </c>
      <c r="J4" s="30">
        <f>((64.34*(B4-F4))^0.5)</f>
        <v>29.804295217921943</v>
      </c>
      <c r="K4" s="30">
        <f>0.4085*A4/D4/E4^2</f>
        <v>30.01718518518518</v>
      </c>
      <c r="L4" s="32">
        <f>0.000002929*A4*K4^2/D4*1000</f>
        <v>27.27091689116666</v>
      </c>
      <c r="M4" s="16">
        <f>0.9*0.5*L4*D4</f>
        <v>36.815737803074995</v>
      </c>
      <c r="N4" s="33">
        <f>(M4-'500 feet'!M4)/'500 feet'!M4</f>
        <v>-0.01750697465420488</v>
      </c>
      <c r="O4" s="14">
        <f>M4*0.07*24*30/1000</f>
        <v>1.85551318527498</v>
      </c>
      <c r="P4" s="15">
        <v>500</v>
      </c>
      <c r="Q4" s="16">
        <f>0.5*229.2*K4/R4</f>
        <v>859.9923555555554</v>
      </c>
      <c r="R4" s="15">
        <v>4</v>
      </c>
      <c r="S4" s="35">
        <f>(Q4-'500 feet'!P4)/'500 feet'!P4</f>
        <v>-0.16498316498316518</v>
      </c>
    </row>
    <row r="5" spans="1:19" ht="12.75">
      <c r="A5" s="10">
        <v>44</v>
      </c>
      <c r="B5" s="10">
        <v>50</v>
      </c>
      <c r="C5" s="12">
        <v>2</v>
      </c>
      <c r="D5" s="32">
        <v>3</v>
      </c>
      <c r="E5" s="15">
        <v>0.375</v>
      </c>
      <c r="F5" s="12">
        <f>1200*G5*I5^2/C5/2/32.17*P5/100</f>
        <v>21.539647857478236</v>
      </c>
      <c r="G5" s="13">
        <f>LOG((0.00015*12/C5/3.7)+5.74/H5^0.9)^-2*0.25</f>
        <v>0.022878571730533193</v>
      </c>
      <c r="H5" s="16">
        <f>7745.8*I5*C5/1</f>
        <v>69611.5046</v>
      </c>
      <c r="I5" s="12">
        <f>0.4085*A5/C5^2</f>
        <v>4.4935</v>
      </c>
      <c r="J5" s="30">
        <f>((64.34*(B5-F5))^0.5)</f>
        <v>42.791810628318245</v>
      </c>
      <c r="K5" s="30">
        <f>0.4085*A5/D5/E5^2</f>
        <v>42.605037037037036</v>
      </c>
      <c r="L5" s="32">
        <f>0.000002929*A5*K5^2/D5*1000</f>
        <v>77.97810696039546</v>
      </c>
      <c r="M5" s="16">
        <f>0.9*0.5*L5*D5</f>
        <v>105.27044439653388</v>
      </c>
      <c r="N5" s="33">
        <f>(M5-'500 feet'!M5)/'500 feet'!M5</f>
        <v>0.0041194625253692125</v>
      </c>
      <c r="O5" s="14">
        <f>M5*0.07*24*30/1000</f>
        <v>5.305630397585308</v>
      </c>
      <c r="P5" s="15">
        <v>500</v>
      </c>
      <c r="Q5" s="16">
        <f>0.5*229.2*K5/R5</f>
        <v>1220.634311111111</v>
      </c>
      <c r="R5" s="15">
        <v>4</v>
      </c>
      <c r="S5" s="35">
        <f>(Q5-'500 feet'!P5)/'500 feet'!P5</f>
        <v>-0.15890083632019117</v>
      </c>
    </row>
    <row r="6" spans="1:19" ht="12.75">
      <c r="A6" s="10">
        <v>54</v>
      </c>
      <c r="B6" s="10">
        <v>75</v>
      </c>
      <c r="C6" s="12">
        <v>2</v>
      </c>
      <c r="D6" s="32">
        <v>3</v>
      </c>
      <c r="E6" s="15">
        <v>0.375</v>
      </c>
      <c r="F6" s="12">
        <f>1200*G6*I6^2/C6/2/32.17*P6/100</f>
        <v>31.693700091123798</v>
      </c>
      <c r="G6" s="13">
        <f>LOG((0.00015*12/C6/3.7)+5.74/H6^0.9)^-2*0.25</f>
        <v>0.02235018319019161</v>
      </c>
      <c r="H6" s="16">
        <f>7745.8*I6*C6/1</f>
        <v>85432.3011</v>
      </c>
      <c r="I6" s="12">
        <f>0.4085*A6/C6^2</f>
        <v>5.514749999999999</v>
      </c>
      <c r="J6" s="30">
        <f>((64.34*(B6-F6))^0.5)</f>
        <v>52.785673587983084</v>
      </c>
      <c r="K6" s="30">
        <f>0.4085*A6/D6/E6^2</f>
        <v>52.28799999999999</v>
      </c>
      <c r="L6" s="32">
        <f>0.000002929*A6*K6^2/D6*1000</f>
        <v>144.14379031756795</v>
      </c>
      <c r="M6" s="16">
        <f>0.9*0.5*L6*D6</f>
        <v>194.59411692871674</v>
      </c>
      <c r="N6" s="33">
        <f>(M6-'500 feet'!M6)/'500 feet'!M6</f>
        <v>0.007727073917480392</v>
      </c>
      <c r="O6" s="14">
        <f>M6*0.07*24*30/1000</f>
        <v>9.807543493207325</v>
      </c>
      <c r="P6" s="15">
        <v>500</v>
      </c>
      <c r="Q6" s="16">
        <f>0.5*229.2*K6/R6</f>
        <v>1498.0511999999997</v>
      </c>
      <c r="R6" s="15">
        <v>4</v>
      </c>
      <c r="S6" s="35">
        <f>(Q6-'500 feet'!P6)/'500 feet'!P6</f>
        <v>-0.15789473684210545</v>
      </c>
    </row>
    <row r="7" spans="1:19" ht="12.75">
      <c r="A7" s="10">
        <v>63</v>
      </c>
      <c r="B7" s="10">
        <v>100</v>
      </c>
      <c r="C7" s="12">
        <v>2</v>
      </c>
      <c r="D7" s="32">
        <v>3</v>
      </c>
      <c r="E7" s="15">
        <v>0.375</v>
      </c>
      <c r="F7" s="12">
        <f>1200*G7*I7^2/C7/2/32.17*P7/100</f>
        <v>42.454984981478866</v>
      </c>
      <c r="G7" s="13">
        <f>LOG((0.00015*12/C7/3.7)+5.74/H7^0.9)^-2*0.25</f>
        <v>0.02199597692659992</v>
      </c>
      <c r="H7" s="16">
        <f>7745.8*I7*C7/1</f>
        <v>99671.01795</v>
      </c>
      <c r="I7" s="12">
        <f>0.4085*A7/C7^2</f>
        <v>6.433875</v>
      </c>
      <c r="J7" s="30">
        <f>((64.34*(B7-F7))^0.5)</f>
        <v>60.847730165484805</v>
      </c>
      <c r="K7" s="30">
        <f>0.4085*A7/D7/E7^2</f>
        <v>61.00266666666667</v>
      </c>
      <c r="L7" s="32">
        <f>0.000002929*A7*K7^2/D7*1000</f>
        <v>228.89500036539735</v>
      </c>
      <c r="M7" s="16">
        <f>0.9*0.5*L7*D7</f>
        <v>309.0082504932864</v>
      </c>
      <c r="N7" s="33">
        <f>(M7-'500 feet'!M7)/'500 feet'!M7</f>
        <v>0.030803906836964604</v>
      </c>
      <c r="O7" s="14">
        <f>M7*0.07*24*30/1000</f>
        <v>15.574015824861638</v>
      </c>
      <c r="P7" s="15">
        <v>500</v>
      </c>
      <c r="Q7" s="16">
        <f>0.5*229.2*K7/R7</f>
        <v>1165.1509333333333</v>
      </c>
      <c r="R7" s="15">
        <v>6</v>
      </c>
      <c r="S7" s="35">
        <f>(Q7-'500 feet'!P7)/'500 feet'!P7</f>
        <v>-0.15151515151515155</v>
      </c>
    </row>
    <row r="8" spans="1:19" ht="12.75">
      <c r="A8" s="10">
        <v>77</v>
      </c>
      <c r="B8" s="10">
        <v>150</v>
      </c>
      <c r="C8" s="12">
        <v>2</v>
      </c>
      <c r="D8" s="32">
        <v>3</v>
      </c>
      <c r="E8" s="15">
        <v>0.375</v>
      </c>
      <c r="F8" s="12">
        <f>1200*G8*I8^2/C8/2/32.17*P8/100</f>
        <v>62.23856372321056</v>
      </c>
      <c r="G8" s="13">
        <f>LOG((0.00015*12/C8/3.7)+5.74/H8^0.9)^-2*0.25</f>
        <v>0.021586079605288876</v>
      </c>
      <c r="H8" s="16">
        <f>7745.8*I8*C8/1</f>
        <v>121820.13305</v>
      </c>
      <c r="I8" s="12">
        <f>0.4085*A8/C8^2</f>
        <v>7.863625</v>
      </c>
      <c r="J8" s="30">
        <f>((64.34*(B8-F8))^0.5)</f>
        <v>75.14366779741745</v>
      </c>
      <c r="K8" s="30">
        <f>0.4085*A8/D8/E8^2</f>
        <v>74.55881481481481</v>
      </c>
      <c r="L8" s="32">
        <f>0.000002929*A8*K8^2/D8*1000</f>
        <v>417.9139169908694</v>
      </c>
      <c r="M8" s="16">
        <f>0.9*0.5*L8*D8</f>
        <v>564.1837879376736</v>
      </c>
      <c r="N8" s="33">
        <f>(M8-'500 feet'!M8)/'500 feet'!M8</f>
        <v>0.018130231104013364</v>
      </c>
      <c r="O8" s="14">
        <f>M8*0.07*24*30/1000</f>
        <v>28.43486291205875</v>
      </c>
      <c r="P8" s="15">
        <v>500</v>
      </c>
      <c r="Q8" s="16">
        <f>0.5*229.2*K8/R8</f>
        <v>1424.0733629629628</v>
      </c>
      <c r="R8" s="15">
        <v>6</v>
      </c>
      <c r="S8" s="35">
        <f>(Q8-'500 feet'!P8)/'500 feet'!P8</f>
        <v>-0.1550068587105624</v>
      </c>
    </row>
    <row r="9" spans="1:19" ht="12.75">
      <c r="A9" s="10"/>
      <c r="B9" s="10"/>
      <c r="C9" s="10"/>
      <c r="D9" s="10"/>
      <c r="E9" s="15"/>
      <c r="F9" s="12"/>
      <c r="G9" s="10"/>
      <c r="H9" s="10"/>
      <c r="I9" s="10"/>
      <c r="J9" s="10"/>
      <c r="K9" s="10"/>
      <c r="L9" s="16"/>
      <c r="M9" s="16"/>
      <c r="N9" s="10"/>
      <c r="O9" s="10"/>
      <c r="P9" s="15"/>
      <c r="Q9" s="10"/>
      <c r="R9" s="15"/>
      <c r="S9" s="10"/>
    </row>
    <row r="10" spans="1:19" ht="12.75">
      <c r="A10" s="9" t="s">
        <v>42</v>
      </c>
      <c r="B10" s="10"/>
      <c r="C10" s="12"/>
      <c r="D10" s="16"/>
      <c r="E10" s="15"/>
      <c r="F10" s="12"/>
      <c r="G10" s="12"/>
      <c r="H10" s="12"/>
      <c r="I10" s="12"/>
      <c r="J10" s="12"/>
      <c r="K10" s="12"/>
      <c r="L10" s="16"/>
      <c r="M10" s="16"/>
      <c r="N10" s="33"/>
      <c r="O10" s="14"/>
      <c r="P10" s="15"/>
      <c r="Q10" s="10"/>
      <c r="R10" s="15"/>
      <c r="S10" s="10"/>
    </row>
    <row r="11" spans="1:19" ht="76.5">
      <c r="A11" s="9" t="s">
        <v>0</v>
      </c>
      <c r="B11" s="17" t="s">
        <v>18</v>
      </c>
      <c r="C11" s="23" t="s">
        <v>14</v>
      </c>
      <c r="D11" s="24" t="s">
        <v>15</v>
      </c>
      <c r="E11" s="17" t="s">
        <v>13</v>
      </c>
      <c r="F11" s="23" t="s">
        <v>12</v>
      </c>
      <c r="G11" s="19" t="s">
        <v>1</v>
      </c>
      <c r="H11" s="20" t="s">
        <v>2</v>
      </c>
      <c r="I11" s="18" t="s">
        <v>11</v>
      </c>
      <c r="J11" s="17" t="s">
        <v>10</v>
      </c>
      <c r="K11" s="18" t="s">
        <v>17</v>
      </c>
      <c r="L11" s="24" t="s">
        <v>39</v>
      </c>
      <c r="M11" s="24" t="s">
        <v>40</v>
      </c>
      <c r="N11" s="34" t="s">
        <v>16</v>
      </c>
      <c r="O11" s="22" t="s">
        <v>7</v>
      </c>
      <c r="P11" s="18" t="s">
        <v>8</v>
      </c>
      <c r="Q11" s="20" t="s">
        <v>3</v>
      </c>
      <c r="R11" s="17" t="s">
        <v>4</v>
      </c>
      <c r="S11" s="36" t="s">
        <v>37</v>
      </c>
    </row>
    <row r="12" spans="1:19" ht="12.75">
      <c r="A12" s="10">
        <v>65</v>
      </c>
      <c r="B12" s="10">
        <v>25</v>
      </c>
      <c r="C12" s="12">
        <v>3</v>
      </c>
      <c r="D12" s="32">
        <v>3</v>
      </c>
      <c r="E12" s="15">
        <v>0.5</v>
      </c>
      <c r="F12" s="12">
        <f>1200*G12*I12^2/C12/2/32.17*P12/100</f>
        <v>5.921723794395856</v>
      </c>
      <c r="G12" s="13">
        <f>LOG((0.00015*12/C12/3.7)+5.74/H12^0.9)^-2*0.25</f>
        <v>0.02188635259716899</v>
      </c>
      <c r="H12" s="16">
        <f>7745.8*I12*C12/1</f>
        <v>68556.78483333332</v>
      </c>
      <c r="I12" s="12">
        <f>0.4085*A12/C12^2</f>
        <v>2.9502777777777776</v>
      </c>
      <c r="J12" s="30">
        <f>((64.34*(B12-F12))^0.5)</f>
        <v>35.03564315191846</v>
      </c>
      <c r="K12" s="30">
        <f>0.4085*A12/D12/E12^2</f>
        <v>35.40333333333333</v>
      </c>
      <c r="L12" s="32">
        <f>0.000002929*A12*K12^2/D12*1000</f>
        <v>79.54259985846295</v>
      </c>
      <c r="M12" s="16">
        <f>0.9*0.5*L12*D12</f>
        <v>107.382509808925</v>
      </c>
      <c r="N12" s="33">
        <f>(M12-'500 feet'!M12)/'500 feet'!M12</f>
        <v>-0.04644097222222216</v>
      </c>
      <c r="O12" s="14">
        <f>M12*0.07*24*30/1000</f>
        <v>5.41207849436982</v>
      </c>
      <c r="P12" s="15">
        <v>500</v>
      </c>
      <c r="Q12" s="16">
        <f>0.5*229.2*K12/R12</f>
        <v>1014.3054999999998</v>
      </c>
      <c r="R12" s="15">
        <v>4</v>
      </c>
      <c r="S12" s="35">
        <f>(Q12-'500 feet'!P12)/'500 feet'!P12</f>
        <v>0.08333333333333323</v>
      </c>
    </row>
    <row r="13" spans="1:19" ht="12.75">
      <c r="A13" s="10">
        <v>92</v>
      </c>
      <c r="B13" s="10">
        <v>50</v>
      </c>
      <c r="C13" s="12">
        <v>3</v>
      </c>
      <c r="D13" s="32">
        <v>3</v>
      </c>
      <c r="E13" s="15">
        <v>0.5</v>
      </c>
      <c r="F13" s="12">
        <f>1200*G13*I13^2/C13/2/32.17*P13/100</f>
        <v>11.33484281994541</v>
      </c>
      <c r="G13" s="13">
        <f>LOG((0.00015*12/C13/3.7)+5.74/H13^0.9)^-2*0.25</f>
        <v>0.020911818722642347</v>
      </c>
      <c r="H13" s="16">
        <f>7745.8*I13*C13/1</f>
        <v>97034.21853333335</v>
      </c>
      <c r="I13" s="12">
        <f>0.4085*A13/C13^2</f>
        <v>4.175777777777778</v>
      </c>
      <c r="J13" s="30">
        <f>((64.34*(B13-F13))^0.5)</f>
        <v>49.87701086637723</v>
      </c>
      <c r="K13" s="30">
        <f>0.4085*A13/D13/E13^2</f>
        <v>50.10933333333333</v>
      </c>
      <c r="L13" s="32">
        <f>0.000002929*A13*K13^2/D13*1000</f>
        <v>225.53980154241896</v>
      </c>
      <c r="M13" s="16">
        <f>0.9*0.5*L13*D13</f>
        <v>304.4787320822656</v>
      </c>
      <c r="N13" s="33">
        <f>(M13-'500 feet'!M13)/'500 feet'!M13</f>
        <v>-0.04058694264232155</v>
      </c>
      <c r="O13" s="14">
        <f>M13*0.07*24*30/1000</f>
        <v>15.345728096946187</v>
      </c>
      <c r="P13" s="15">
        <v>500</v>
      </c>
      <c r="Q13" s="16">
        <f>0.5*229.2*K13/R13</f>
        <v>1435.6324</v>
      </c>
      <c r="R13" s="15">
        <v>4</v>
      </c>
      <c r="S13" s="35">
        <f>(Q13-'500 feet'!P13)/'500 feet'!P13</f>
        <v>0.08554572271386444</v>
      </c>
    </row>
    <row r="14" spans="1:19" ht="12.75">
      <c r="A14" s="10">
        <v>112</v>
      </c>
      <c r="B14" s="10">
        <v>75</v>
      </c>
      <c r="C14" s="12">
        <v>3</v>
      </c>
      <c r="D14" s="32">
        <v>3</v>
      </c>
      <c r="E14" s="15">
        <v>0.5</v>
      </c>
      <c r="F14" s="12">
        <f>1200*G14*I14^2/C14/2/32.17*P14/100</f>
        <v>16.422031475251075</v>
      </c>
      <c r="G14" s="13">
        <f>LOG((0.00015*12/C14/3.7)+5.74/H14^0.9)^-2*0.25</f>
        <v>0.020442913588250088</v>
      </c>
      <c r="H14" s="16">
        <f>7745.8*I14*C14/1</f>
        <v>118128.61386666665</v>
      </c>
      <c r="I14" s="12">
        <f>0.4085*A14/C14^2</f>
        <v>5.083555555555555</v>
      </c>
      <c r="J14" s="30">
        <f>((64.34*(B14-F14))^0.5)</f>
        <v>61.391420368666715</v>
      </c>
      <c r="K14" s="30">
        <f>0.4085*A14/D14/E14^2</f>
        <v>61.00266666666666</v>
      </c>
      <c r="L14" s="32">
        <f>0.000002929*A14*K14^2/D14*1000</f>
        <v>406.9244450940397</v>
      </c>
      <c r="M14" s="16">
        <f>0.9*0.5*L14*D14</f>
        <v>549.3480008769536</v>
      </c>
      <c r="N14" s="33">
        <f>(M14-'500 feet'!M14)/'500 feet'!M14</f>
        <v>-0.04962657880842754</v>
      </c>
      <c r="O14" s="14">
        <f>M14*0.07*24*30/1000</f>
        <v>27.68713924419847</v>
      </c>
      <c r="P14" s="15">
        <v>500</v>
      </c>
      <c r="Q14" s="16">
        <f>0.5*229.2*K14/R14</f>
        <v>1165.1509333333331</v>
      </c>
      <c r="R14" s="15">
        <v>6</v>
      </c>
      <c r="S14" s="35">
        <f>(Q14-'500 feet'!P14)/'500 feet'!P14</f>
        <v>0.08212560386473423</v>
      </c>
    </row>
    <row r="15" spans="1:19" ht="12.75">
      <c r="A15" s="10">
        <v>130</v>
      </c>
      <c r="B15" s="10">
        <v>100</v>
      </c>
      <c r="C15" s="12">
        <v>3</v>
      </c>
      <c r="D15" s="32">
        <v>3</v>
      </c>
      <c r="E15" s="15">
        <v>0.5</v>
      </c>
      <c r="F15" s="12">
        <f>1200*G15*I15^2/C15/2/32.17*P15/100</f>
        <v>21.779442123210984</v>
      </c>
      <c r="G15" s="13">
        <f>LOG((0.00015*12/C15/3.7)+5.74/H15^0.9)^-2*0.25</f>
        <v>0.020123893237360177</v>
      </c>
      <c r="H15" s="16">
        <f>7745.8*I15*C15/1</f>
        <v>137113.56966666665</v>
      </c>
      <c r="I15" s="12">
        <f>0.4085*A15/C15^2</f>
        <v>5.900555555555555</v>
      </c>
      <c r="J15" s="30">
        <f>((64.34*(B15-F15))^0.5)</f>
        <v>70.94160058662763</v>
      </c>
      <c r="K15" s="30">
        <f>0.4085*A15/D15/E15^2</f>
        <v>70.80666666666666</v>
      </c>
      <c r="L15" s="32">
        <f>0.000002929*A15*K15^2/D15*1000</f>
        <v>636.3407988677036</v>
      </c>
      <c r="M15" s="16">
        <f>0.9*0.5*L15*D15</f>
        <v>859.0600784714</v>
      </c>
      <c r="N15" s="33">
        <f>(M15-'500 feet'!M15)/'500 feet'!M15</f>
        <v>-0.06409901998504798</v>
      </c>
      <c r="O15" s="14">
        <f>M15*0.07*24*30/1000</f>
        <v>43.29662795495856</v>
      </c>
      <c r="P15" s="15">
        <v>500</v>
      </c>
      <c r="Q15" s="16">
        <f>0.5*229.2*K15/R15</f>
        <v>1352.407333333333</v>
      </c>
      <c r="R15" s="15">
        <v>6</v>
      </c>
      <c r="S15" s="35">
        <f>(Q15-'500 feet'!P15)/'500 feet'!P15</f>
        <v>0.07660455486542452</v>
      </c>
    </row>
    <row r="16" spans="1:19" ht="12.75">
      <c r="A16" s="10">
        <v>160</v>
      </c>
      <c r="B16" s="10">
        <v>150</v>
      </c>
      <c r="C16" s="12">
        <v>3</v>
      </c>
      <c r="D16" s="32">
        <v>3</v>
      </c>
      <c r="E16" s="15">
        <v>0.5</v>
      </c>
      <c r="F16" s="12">
        <f>1200*G16*I16^2/C16/2/32.17*P16/100</f>
        <v>32.341358078369346</v>
      </c>
      <c r="G16" s="13">
        <f>LOG((0.00015*12/C16/3.7)+5.74/H16^0.9)^-2*0.25</f>
        <v>0.019727417942438118</v>
      </c>
      <c r="H16" s="16">
        <f>7745.8*I16*C16/1</f>
        <v>168755.16266666667</v>
      </c>
      <c r="I16" s="12">
        <f>0.4085*A16/C16^2</f>
        <v>7.262222222222222</v>
      </c>
      <c r="J16" s="30">
        <f>((64.34*(B16-F16))^0.5)</f>
        <v>87.00664929324492</v>
      </c>
      <c r="K16" s="30">
        <f>0.4085*A16/D16/E16^2</f>
        <v>87.14666666666666</v>
      </c>
      <c r="L16" s="32">
        <f>0.000002929*A16*K16^2/D16*1000</f>
        <v>1186.3686445890369</v>
      </c>
      <c r="M16" s="16">
        <f>0.9*0.5*L16*D16</f>
        <v>1601.5976701952</v>
      </c>
      <c r="N16" s="33">
        <f>(M16-'500 feet'!M16)/'500 feet'!M16</f>
        <v>-0.047557551766567785</v>
      </c>
      <c r="O16" s="14">
        <f>M16*0.07*24*30/1000</f>
        <v>80.7205225778381</v>
      </c>
      <c r="P16" s="15">
        <v>500</v>
      </c>
      <c r="Q16" s="16">
        <f>0.5*229.2*K16/R16</f>
        <v>1664.501333333333</v>
      </c>
      <c r="R16" s="15">
        <v>6</v>
      </c>
      <c r="S16" s="35">
        <f>(Q16-'500 feet'!P16)/'500 feet'!P16</f>
        <v>0.08291032148900158</v>
      </c>
    </row>
    <row r="17" spans="1:19" ht="12.75">
      <c r="A17" s="10"/>
      <c r="B17" s="10"/>
      <c r="C17" s="12"/>
      <c r="D17" s="16"/>
      <c r="E17" s="15"/>
      <c r="F17" s="12"/>
      <c r="G17" s="10"/>
      <c r="H17" s="10"/>
      <c r="I17" s="12"/>
      <c r="J17" s="12"/>
      <c r="K17" s="12"/>
      <c r="L17" s="16"/>
      <c r="M17" s="16"/>
      <c r="N17" s="33"/>
      <c r="O17" s="14"/>
      <c r="P17" s="15"/>
      <c r="Q17" s="10"/>
      <c r="R17" s="15"/>
      <c r="S17" s="10"/>
    </row>
    <row r="18" spans="1:19" ht="12.75">
      <c r="A18" s="10"/>
      <c r="B18" s="10"/>
      <c r="C18" s="10"/>
      <c r="D18" s="16"/>
      <c r="E18" s="15"/>
      <c r="F18" s="12"/>
      <c r="G18" s="10"/>
      <c r="H18" s="10"/>
      <c r="I18" s="10"/>
      <c r="J18" s="10"/>
      <c r="K18" s="10"/>
      <c r="L18" s="16"/>
      <c r="M18" s="16"/>
      <c r="N18" s="33"/>
      <c r="O18" s="10"/>
      <c r="P18" s="15"/>
      <c r="Q18" s="10"/>
      <c r="R18" s="15"/>
      <c r="S18" s="10"/>
    </row>
    <row r="19" spans="1:19" ht="12.75">
      <c r="A19" s="9" t="s">
        <v>43</v>
      </c>
      <c r="B19" s="10"/>
      <c r="C19" s="12"/>
      <c r="D19" s="16"/>
      <c r="E19" s="15"/>
      <c r="F19" s="12"/>
      <c r="G19" s="12"/>
      <c r="H19" s="12"/>
      <c r="I19" s="12"/>
      <c r="J19" s="12"/>
      <c r="K19" s="12"/>
      <c r="L19" s="16"/>
      <c r="M19" s="16"/>
      <c r="N19" s="33"/>
      <c r="O19" s="14"/>
      <c r="P19" s="15"/>
      <c r="Q19" s="10"/>
      <c r="R19" s="15"/>
      <c r="S19" s="10"/>
    </row>
    <row r="20" spans="1:19" ht="76.5">
      <c r="A20" s="9" t="s">
        <v>0</v>
      </c>
      <c r="B20" s="17" t="s">
        <v>18</v>
      </c>
      <c r="C20" s="23" t="s">
        <v>14</v>
      </c>
      <c r="D20" s="24" t="s">
        <v>15</v>
      </c>
      <c r="E20" s="17" t="s">
        <v>13</v>
      </c>
      <c r="F20" s="23" t="s">
        <v>12</v>
      </c>
      <c r="G20" s="19" t="s">
        <v>1</v>
      </c>
      <c r="H20" s="20" t="s">
        <v>2</v>
      </c>
      <c r="I20" s="18" t="s">
        <v>11</v>
      </c>
      <c r="J20" s="17" t="s">
        <v>10</v>
      </c>
      <c r="K20" s="18" t="s">
        <v>17</v>
      </c>
      <c r="L20" s="24" t="s">
        <v>39</v>
      </c>
      <c r="M20" s="24" t="s">
        <v>40</v>
      </c>
      <c r="N20" s="34" t="s">
        <v>16</v>
      </c>
      <c r="O20" s="22" t="s">
        <v>7</v>
      </c>
      <c r="P20" s="18" t="s">
        <v>8</v>
      </c>
      <c r="Q20" s="20" t="s">
        <v>3</v>
      </c>
      <c r="R20" s="17" t="s">
        <v>4</v>
      </c>
      <c r="S20" s="36" t="s">
        <v>37</v>
      </c>
    </row>
    <row r="21" spans="1:19" ht="12.75">
      <c r="A21" s="10">
        <v>145</v>
      </c>
      <c r="B21" s="10">
        <v>25</v>
      </c>
      <c r="C21" s="12">
        <v>4</v>
      </c>
      <c r="D21" s="32">
        <v>3</v>
      </c>
      <c r="E21" s="15">
        <v>0.75</v>
      </c>
      <c r="F21" s="12">
        <f>1200*G21*I21^2/C21/2/32.17*P21/100</f>
        <v>6.339520038329527</v>
      </c>
      <c r="G21" s="13">
        <f>LOG((0.00015*12/C21/3.7)+5.74/H21^0.9)^-2*0.25</f>
        <v>0.01984111231511787</v>
      </c>
      <c r="H21" s="16">
        <f>7745.8*I21*C21/1</f>
        <v>114700.77462499999</v>
      </c>
      <c r="I21" s="12">
        <f>0.4085*A21/C21^2</f>
        <v>3.7020312499999997</v>
      </c>
      <c r="J21" s="30">
        <f>((64.34*(B21-F21))^0.5)</f>
        <v>34.64989582572909</v>
      </c>
      <c r="K21" s="30">
        <f>0.4085*A21/D21/E21^2</f>
        <v>35.10074074074074</v>
      </c>
      <c r="L21" s="32">
        <f>0.000002929*A21*K21^2/D21*1000</f>
        <v>174.4209639810114</v>
      </c>
      <c r="M21" s="16">
        <f>0.9*0.5*L21*D21</f>
        <v>235.46830137436538</v>
      </c>
      <c r="N21" s="33">
        <f>(M21-'500 feet'!M21)/'500 feet'!M21</f>
        <v>0.011270489148040113</v>
      </c>
      <c r="O21" s="14">
        <f>M21*0.07*24*30/1000</f>
        <v>11.867602389268017</v>
      </c>
      <c r="P21" s="15">
        <v>500</v>
      </c>
      <c r="Q21" s="16">
        <f>0.5*229.2*K21/R21</f>
        <v>1005.6362222222222</v>
      </c>
      <c r="R21" s="15">
        <v>4</v>
      </c>
      <c r="S21" s="35">
        <f>(Q21-'500 feet'!P21)/'500 feet'!P21</f>
        <v>0.10476190476190479</v>
      </c>
    </row>
    <row r="22" spans="1:19" ht="12.75">
      <c r="A22" s="10">
        <v>205</v>
      </c>
      <c r="B22" s="10">
        <v>50</v>
      </c>
      <c r="C22" s="12">
        <v>4</v>
      </c>
      <c r="D22" s="32">
        <v>3</v>
      </c>
      <c r="E22" s="15">
        <v>0.75</v>
      </c>
      <c r="F22" s="12">
        <f>1200*G22*I22^2/C22/2/32.17*P22/100</f>
        <v>12.174295484191825</v>
      </c>
      <c r="G22" s="13">
        <f>LOG((0.00015*12/C22/3.7)+5.74/H22^0.9)^-2*0.25</f>
        <v>0.019062583425718486</v>
      </c>
      <c r="H22" s="16">
        <f>7745.8*I22*C22/1</f>
        <v>162163.16412499998</v>
      </c>
      <c r="I22" s="12">
        <f>0.4085*A22/C22^2</f>
        <v>5.2339062499999995</v>
      </c>
      <c r="J22" s="30">
        <f>((64.34*(B22-F22))^0.5)</f>
        <v>49.33260411276804</v>
      </c>
      <c r="K22" s="30">
        <f>0.4085*A22/D22/E22^2</f>
        <v>49.62518518518518</v>
      </c>
      <c r="L22" s="32">
        <f>0.000002929*A22*K22^2/D22*1000</f>
        <v>492.8970953518097</v>
      </c>
      <c r="M22" s="16">
        <f>0.9*0.5*L22*D22</f>
        <v>665.4110787249431</v>
      </c>
      <c r="N22" s="33">
        <f>(M22-'500 feet'!M22)/'500 feet'!M22</f>
        <v>-0.0197902222222223</v>
      </c>
      <c r="O22" s="14">
        <f>M22*0.07*24*30/1000</f>
        <v>33.53671836773714</v>
      </c>
      <c r="P22" s="15">
        <v>500</v>
      </c>
      <c r="Q22" s="16">
        <f>0.5*229.2*K22/R22</f>
        <v>1421.7615555555553</v>
      </c>
      <c r="R22" s="15">
        <v>4</v>
      </c>
      <c r="S22" s="35">
        <f>(Q22-'500 feet'!P22)/'500 feet'!P22</f>
        <v>0.09333333333333337</v>
      </c>
    </row>
    <row r="23" spans="1:19" ht="12.75">
      <c r="A23" s="10">
        <v>250</v>
      </c>
      <c r="B23" s="10">
        <v>75</v>
      </c>
      <c r="C23" s="12">
        <v>4</v>
      </c>
      <c r="D23" s="32">
        <v>3</v>
      </c>
      <c r="E23" s="15">
        <v>0.75</v>
      </c>
      <c r="F23" s="12">
        <f>1200*G23*I23^2/C23/2/32.17*P23/100</f>
        <v>17.74732781656386</v>
      </c>
      <c r="G23" s="13">
        <f>LOG((0.00015*12/C23/3.7)+5.74/H23^0.9)^-2*0.25</f>
        <v>0.018685236328012503</v>
      </c>
      <c r="H23" s="16">
        <f>7745.8*I23*C23/1</f>
        <v>197759.95625000002</v>
      </c>
      <c r="I23" s="12">
        <f>0.4085*A23/C23^2</f>
        <v>6.3828125</v>
      </c>
      <c r="J23" s="30">
        <f>((64.34*(B23-F23))^0.5)</f>
        <v>60.69297264331581</v>
      </c>
      <c r="K23" s="30">
        <f>0.4085*A23/D23/E23^2</f>
        <v>60.51851851851851</v>
      </c>
      <c r="L23" s="32">
        <f>0.000002929*A23*K23^2/D23*1000</f>
        <v>893.9530320073156</v>
      </c>
      <c r="M23" s="16">
        <f>0.9*0.5*L23*D23</f>
        <v>1206.8365932098761</v>
      </c>
      <c r="N23" s="33">
        <f>(M23-'500 feet'!M23)/'500 feet'!M23</f>
        <v>-0.030532577626497612</v>
      </c>
      <c r="O23" s="14">
        <f>M23*0.07*24*30/1000</f>
        <v>60.82456429777777</v>
      </c>
      <c r="P23" s="15">
        <v>500</v>
      </c>
      <c r="Q23" s="16">
        <f>0.5*229.2*K23/R23</f>
        <v>1733.8555555555554</v>
      </c>
      <c r="R23" s="15">
        <v>4</v>
      </c>
      <c r="S23" s="35">
        <f>(Q23-'500 feet'!P23)/'500 feet'!P23</f>
        <v>0.0893246187363835</v>
      </c>
    </row>
    <row r="24" spans="1:19" ht="12.75">
      <c r="A24" s="10">
        <v>290</v>
      </c>
      <c r="B24" s="10">
        <v>100</v>
      </c>
      <c r="C24" s="12">
        <v>4</v>
      </c>
      <c r="D24" s="32">
        <v>3</v>
      </c>
      <c r="E24" s="15">
        <v>0.75</v>
      </c>
      <c r="F24" s="12">
        <f>1200*G24*I24^2/C24/2/32.17*P24/100</f>
        <v>23.558040849119802</v>
      </c>
      <c r="G24" s="13">
        <f>LOG((0.00015*12/C24/3.7)+5.74/H24^0.9)^-2*0.25</f>
        <v>0.01843269409929517</v>
      </c>
      <c r="H24" s="16">
        <f>7745.8*I24*C24/1</f>
        <v>229401.54924999998</v>
      </c>
      <c r="I24" s="12">
        <f>0.4085*A24/C24^2</f>
        <v>7.404062499999999</v>
      </c>
      <c r="J24" s="30">
        <f>((64.34*(B24-F24))^0.5)</f>
        <v>70.13041887631665</v>
      </c>
      <c r="K24" s="30">
        <f>0.4085*A24/D24/E24^2</f>
        <v>70.20148148148148</v>
      </c>
      <c r="L24" s="32">
        <f>0.000002929*A24*K24^2/D24*1000</f>
        <v>1395.3677118480912</v>
      </c>
      <c r="M24" s="16">
        <f>0.9*0.5*L24*D24</f>
        <v>1883.746410994923</v>
      </c>
      <c r="N24" s="33">
        <f>(M24-'500 feet'!M24)/'500 feet'!M24</f>
        <v>-0.0308602480008222</v>
      </c>
      <c r="O24" s="14">
        <f>M24*0.07*24*30/1000</f>
        <v>94.94081911414413</v>
      </c>
      <c r="P24" s="15">
        <v>500</v>
      </c>
      <c r="Q24" s="16">
        <f>0.5*229.2*K24/R24</f>
        <v>1340.8482962962962</v>
      </c>
      <c r="R24" s="15">
        <v>6</v>
      </c>
      <c r="S24" s="35">
        <f>(Q24-'500 feet'!P24)/'500 feet'!P24</f>
        <v>0.08920187793427226</v>
      </c>
    </row>
    <row r="25" spans="1:19" ht="12.75">
      <c r="A25" s="10">
        <v>355</v>
      </c>
      <c r="B25" s="10">
        <v>150</v>
      </c>
      <c r="C25" s="12">
        <v>4</v>
      </c>
      <c r="D25" s="32">
        <v>3</v>
      </c>
      <c r="E25" s="15">
        <v>0.75</v>
      </c>
      <c r="F25" s="12">
        <f>1200*G25*I25^2/C25/2/32.17*P25/100</f>
        <v>34.71492806688209</v>
      </c>
      <c r="G25" s="13">
        <f>LOG((0.00015*12/C25/3.7)+5.74/H25^0.9)^-2*0.25</f>
        <v>0.018126134768422352</v>
      </c>
      <c r="H25" s="16">
        <f>7745.8*I25*C25/1</f>
        <v>280819.13787499996</v>
      </c>
      <c r="I25" s="12">
        <f>0.4085*A25/C25^2</f>
        <v>9.063593749999999</v>
      </c>
      <c r="J25" s="30">
        <f>((64.34*(B25-F25))^0.5)</f>
        <v>86.12456982868946</v>
      </c>
      <c r="K25" s="30">
        <f>0.4085*A25/D25/E25^2</f>
        <v>85.93629629629629</v>
      </c>
      <c r="L25" s="32">
        <f>0.000002929*A25*K25^2/D25*1000</f>
        <v>2559.644989110164</v>
      </c>
      <c r="M25" s="16">
        <f>0.9*0.5*L25*D25</f>
        <v>3455.520735298722</v>
      </c>
      <c r="N25" s="33">
        <f>(M25-'500 feet'!M25)/'500 feet'!M25</f>
        <v>-0.0469444352676721</v>
      </c>
      <c r="O25" s="14">
        <f>M25*0.07*24*30/1000</f>
        <v>174.1582450590556</v>
      </c>
      <c r="P25" s="15">
        <v>500</v>
      </c>
      <c r="Q25" s="16">
        <f>0.5*229.2*K25/R25</f>
        <v>1231.0374444444444</v>
      </c>
      <c r="R25" s="15">
        <v>8</v>
      </c>
      <c r="S25" s="35">
        <f>(Q25-'500 feet'!P25)/'500 feet'!P25</f>
        <v>0.08314263920671239</v>
      </c>
    </row>
    <row r="26" spans="1:19" ht="12.75">
      <c r="A26" s="10"/>
      <c r="B26" s="10"/>
      <c r="C26" s="10"/>
      <c r="D26" s="16"/>
      <c r="E26" s="15"/>
      <c r="F26" s="12"/>
      <c r="G26" s="10"/>
      <c r="H26" s="10"/>
      <c r="I26" s="10"/>
      <c r="J26" s="10"/>
      <c r="K26" s="10"/>
      <c r="L26" s="16"/>
      <c r="M26" s="16"/>
      <c r="N26" s="33"/>
      <c r="O26" s="10"/>
      <c r="P26" s="15"/>
      <c r="Q26" s="10"/>
      <c r="R26" s="15"/>
      <c r="S26" s="10"/>
    </row>
    <row r="27" spans="1:19" ht="12.75">
      <c r="A27" s="10"/>
      <c r="B27" s="10"/>
      <c r="C27" s="10"/>
      <c r="D27" s="16"/>
      <c r="E27" s="15"/>
      <c r="F27" s="12"/>
      <c r="G27" s="10"/>
      <c r="H27" s="10"/>
      <c r="I27" s="10"/>
      <c r="J27" s="10"/>
      <c r="K27" s="10"/>
      <c r="L27" s="16"/>
      <c r="M27" s="16"/>
      <c r="N27" s="33"/>
      <c r="O27" s="10"/>
      <c r="P27" s="15"/>
      <c r="Q27" s="10"/>
      <c r="R27" s="15"/>
      <c r="S27" s="10"/>
    </row>
    <row r="28" spans="1:19" ht="12.75">
      <c r="A28" s="9" t="s">
        <v>44</v>
      </c>
      <c r="B28" s="10"/>
      <c r="C28" s="12"/>
      <c r="D28" s="16"/>
      <c r="E28" s="15"/>
      <c r="F28" s="12"/>
      <c r="G28" s="12"/>
      <c r="H28" s="12"/>
      <c r="I28" s="12"/>
      <c r="J28" s="12"/>
      <c r="K28" s="12"/>
      <c r="L28" s="16"/>
      <c r="M28" s="16"/>
      <c r="N28" s="33"/>
      <c r="O28" s="14"/>
      <c r="P28" s="15"/>
      <c r="Q28" s="10"/>
      <c r="R28" s="15"/>
      <c r="S28" s="10"/>
    </row>
    <row r="29" spans="1:19" ht="76.5">
      <c r="A29" s="9" t="s">
        <v>0</v>
      </c>
      <c r="B29" s="17" t="s">
        <v>18</v>
      </c>
      <c r="C29" s="23" t="s">
        <v>14</v>
      </c>
      <c r="D29" s="24" t="s">
        <v>15</v>
      </c>
      <c r="E29" s="17" t="s">
        <v>13</v>
      </c>
      <c r="F29" s="23" t="s">
        <v>12</v>
      </c>
      <c r="G29" s="19" t="s">
        <v>1</v>
      </c>
      <c r="H29" s="20" t="s">
        <v>2</v>
      </c>
      <c r="I29" s="18" t="s">
        <v>11</v>
      </c>
      <c r="J29" s="17" t="s">
        <v>10</v>
      </c>
      <c r="K29" s="18" t="s">
        <v>17</v>
      </c>
      <c r="L29" s="24" t="s">
        <v>39</v>
      </c>
      <c r="M29" s="24" t="s">
        <v>40</v>
      </c>
      <c r="N29" s="34" t="s">
        <v>16</v>
      </c>
      <c r="O29" s="22" t="s">
        <v>7</v>
      </c>
      <c r="P29" s="18" t="s">
        <v>8</v>
      </c>
      <c r="Q29" s="20" t="s">
        <v>3</v>
      </c>
      <c r="R29" s="17" t="s">
        <v>4</v>
      </c>
      <c r="S29" s="36" t="s">
        <v>37</v>
      </c>
    </row>
    <row r="30" spans="1:19" ht="12.75">
      <c r="A30" s="10">
        <v>400</v>
      </c>
      <c r="B30" s="10">
        <v>25</v>
      </c>
      <c r="C30" s="12">
        <v>6</v>
      </c>
      <c r="D30" s="32">
        <v>3</v>
      </c>
      <c r="E30" s="15">
        <v>1.25</v>
      </c>
      <c r="F30" s="12">
        <f>1200*G30*I30^2/C30/2/32.17*P30/100</f>
        <v>5.662301885056244</v>
      </c>
      <c r="G30" s="13">
        <f>LOG((0.00015*12/C30/3.7)+5.74/H30^0.9)^-2*0.25</f>
        <v>0.017683774723506178</v>
      </c>
      <c r="H30" s="16">
        <f>7745.8*I30*C30/1</f>
        <v>210943.9533333333</v>
      </c>
      <c r="I30" s="12">
        <f>0.4085*A30/C30^2</f>
        <v>4.538888888888888</v>
      </c>
      <c r="J30" s="30">
        <f>((64.34*(B30-F30))^0.5)</f>
        <v>35.27304206778147</v>
      </c>
      <c r="K30" s="30">
        <f>0.4085*A30/D30/E30^2</f>
        <v>34.858666666666664</v>
      </c>
      <c r="L30" s="32">
        <f>0.000002929*A30*K30^2/D30*1000</f>
        <v>474.54745783561475</v>
      </c>
      <c r="M30" s="16">
        <f>0.9*0.5*L30*D30</f>
        <v>640.63906807808</v>
      </c>
      <c r="N30" s="33">
        <f>(M30-'500 feet'!M30)/'500 feet'!M30</f>
        <v>0.4837033217200999</v>
      </c>
      <c r="O30" s="14">
        <f>M30*0.07*24*30/1000</f>
        <v>32.28820903113523</v>
      </c>
      <c r="P30" s="15">
        <v>500</v>
      </c>
      <c r="Q30" s="16">
        <f>0.5*229.2*K30/R30</f>
        <v>998.7007999999998</v>
      </c>
      <c r="R30" s="15">
        <v>4</v>
      </c>
      <c r="S30" s="35">
        <f>(Q30-'500 feet'!P30)/'500 feet'!P30</f>
        <v>-0.10697674418604662</v>
      </c>
    </row>
    <row r="31" spans="1:19" ht="12.75">
      <c r="A31" s="10">
        <v>570</v>
      </c>
      <c r="B31" s="10">
        <v>50</v>
      </c>
      <c r="C31" s="12">
        <v>6</v>
      </c>
      <c r="D31" s="32">
        <v>3</v>
      </c>
      <c r="E31" s="15">
        <v>1.25</v>
      </c>
      <c r="F31" s="12">
        <f>1200*G31*I31^2/C31/2/32.17*P31/100</f>
        <v>11.091143734296372</v>
      </c>
      <c r="G31" s="13">
        <f>LOG((0.00015*12/C31/3.7)+5.74/H31^0.9)^-2*0.25</f>
        <v>0.017058017614359645</v>
      </c>
      <c r="H31" s="16">
        <f>7745.8*I31*C31/1</f>
        <v>300595.1335</v>
      </c>
      <c r="I31" s="12">
        <f>0.4085*A31/C31^2</f>
        <v>6.4679166666666665</v>
      </c>
      <c r="J31" s="30">
        <f>((64.34*(B31-F31))^0.5)</f>
        <v>50.0339465976388</v>
      </c>
      <c r="K31" s="30">
        <f>0.4085*A31/D31/E31^2</f>
        <v>49.67359999999999</v>
      </c>
      <c r="L31" s="32">
        <f>0.000002929*A31*K31^2/D31*1000</f>
        <v>1373.169802483609</v>
      </c>
      <c r="M31" s="16">
        <f>0.9*0.5*L31*D31</f>
        <v>1853.7792333528723</v>
      </c>
      <c r="N31" s="33">
        <f>(M31-'500 feet'!M31)/'500 feet'!M31</f>
        <v>0.5803135999999997</v>
      </c>
      <c r="O31" s="14">
        <f>M31*0.07*24*30/1000</f>
        <v>93.43047336098476</v>
      </c>
      <c r="P31" s="15">
        <v>500</v>
      </c>
      <c r="Q31" s="16">
        <f>0.5*229.2*K31/R31</f>
        <v>1423.1486399999997</v>
      </c>
      <c r="R31" s="15">
        <v>4</v>
      </c>
      <c r="S31" s="35">
        <f>(Q31-'500 feet'!P31)/'500 feet'!P31</f>
        <v>-0.08800000000000023</v>
      </c>
    </row>
    <row r="32" spans="1:19" ht="12.75">
      <c r="A32" s="10">
        <v>700</v>
      </c>
      <c r="B32" s="10">
        <v>75</v>
      </c>
      <c r="C32" s="12">
        <v>6</v>
      </c>
      <c r="D32" s="32">
        <v>3</v>
      </c>
      <c r="E32" s="15">
        <v>1.25</v>
      </c>
      <c r="F32" s="12">
        <f>1200*G32*I32^2/C32/2/32.17*P32/100</f>
        <v>16.42864183080084</v>
      </c>
      <c r="G32" s="13">
        <f>LOG((0.00015*12/C32/3.7)+5.74/H32^0.9)^-2*0.25</f>
        <v>0.016753575910036633</v>
      </c>
      <c r="H32" s="16">
        <f>7745.8*I32*C32/1</f>
        <v>369151.91833333333</v>
      </c>
      <c r="I32" s="12">
        <f>0.4085*A32/C32^2</f>
        <v>7.9430555555555555</v>
      </c>
      <c r="J32" s="30">
        <f>((64.34*(B32-F32))^0.5)</f>
        <v>61.387956348181795</v>
      </c>
      <c r="K32" s="30">
        <f>0.4085*A32/D32/E32^2</f>
        <v>61.00266666666666</v>
      </c>
      <c r="L32" s="32">
        <f>0.000002929*A32*K32^2/D32*1000</f>
        <v>2543.2777818377476</v>
      </c>
      <c r="M32" s="16">
        <f>0.9*0.5*L32*D32</f>
        <v>3433.4250054809595</v>
      </c>
      <c r="N32" s="33">
        <f>(M32-'500 feet'!M32)/'500 feet'!M32</f>
        <v>0.5601682032653548</v>
      </c>
      <c r="O32" s="14">
        <f>M32*0.07*24*30/1000</f>
        <v>173.04462027624038</v>
      </c>
      <c r="P32" s="15">
        <v>500</v>
      </c>
      <c r="Q32" s="16">
        <f>0.5*229.2*K32/R32</f>
        <v>1165.1509333333331</v>
      </c>
      <c r="R32" s="15">
        <v>6</v>
      </c>
      <c r="S32" s="35">
        <f>(Q32-'500 feet'!P32)/'500 feet'!P32</f>
        <v>-0.09189189189189188</v>
      </c>
    </row>
    <row r="33" spans="1:19" ht="12.75">
      <c r="A33" s="10">
        <v>815</v>
      </c>
      <c r="B33" s="10">
        <v>100</v>
      </c>
      <c r="C33" s="12">
        <v>6</v>
      </c>
      <c r="D33" s="32">
        <v>3</v>
      </c>
      <c r="E33" s="15">
        <v>1.25</v>
      </c>
      <c r="F33" s="12">
        <f>1200*G33*I33^2/C33/2/32.17*P33/100</f>
        <v>22.003548745505825</v>
      </c>
      <c r="G33" s="13">
        <f>LOG((0.00015*12/C33/3.7)+5.74/H33^0.9)^-2*0.25</f>
        <v>0.01655310418973029</v>
      </c>
      <c r="H33" s="16">
        <f>7745.8*I33*C33/1</f>
        <v>429798.30491666665</v>
      </c>
      <c r="I33" s="12">
        <f>0.4085*A33/C33^2</f>
        <v>9.24798611111111</v>
      </c>
      <c r="J33" s="30">
        <f>((64.34*(B33-F33))^0.5)</f>
        <v>70.83990170598881</v>
      </c>
      <c r="K33" s="30">
        <f>0.4085*A33/D33/E33^2</f>
        <v>71.02453333333332</v>
      </c>
      <c r="L33" s="32">
        <f>0.000002929*A33*K33^2/D33*1000</f>
        <v>4013.955037850029</v>
      </c>
      <c r="M33" s="16">
        <f>0.9*0.5*L33*D33</f>
        <v>5418.83930109754</v>
      </c>
      <c r="N33" s="33">
        <f>(M33-'500 feet'!M33)/'500 feet'!M33</f>
        <v>0.6247573520048855</v>
      </c>
      <c r="O33" s="14">
        <f>M33*0.07*24*30/1000</f>
        <v>273.109500775316</v>
      </c>
      <c r="P33" s="15">
        <v>500</v>
      </c>
      <c r="Q33" s="16">
        <f>0.5*229.2*K33/R33</f>
        <v>1356.5685866666665</v>
      </c>
      <c r="R33" s="15">
        <v>6</v>
      </c>
      <c r="S33" s="35">
        <f>(Q33-'500 feet'!P33)/'500 feet'!P33</f>
        <v>-0.07952941176470583</v>
      </c>
    </row>
    <row r="34" spans="1:19" ht="12.75">
      <c r="A34" s="10">
        <v>1000</v>
      </c>
      <c r="B34" s="10">
        <v>150</v>
      </c>
      <c r="C34" s="12">
        <v>6</v>
      </c>
      <c r="D34" s="32">
        <v>3</v>
      </c>
      <c r="E34" s="15">
        <v>1.25</v>
      </c>
      <c r="F34" s="12">
        <f>1200*G34*I34^2/C34/2/32.17*P34/100</f>
        <v>32.64827801322544</v>
      </c>
      <c r="G34" s="13">
        <f>LOG((0.00015*12/C34/3.7)+5.74/H34^0.9)^-2*0.25</f>
        <v>0.016314066052041123</v>
      </c>
      <c r="H34" s="16">
        <f>7745.8*I34*C34/1</f>
        <v>527359.8833333333</v>
      </c>
      <c r="I34" s="12">
        <f>0.4085*A34/C34^2</f>
        <v>11.347222222222221</v>
      </c>
      <c r="J34" s="30">
        <f>((64.34*(B34-F34))^0.5)</f>
        <v>86.89309404451585</v>
      </c>
      <c r="K34" s="30">
        <f>0.4085*A34/D34/E34^2</f>
        <v>87.14666666666666</v>
      </c>
      <c r="L34" s="32">
        <f>0.000002929*A34*K34^2/D34*1000</f>
        <v>7414.80402868148</v>
      </c>
      <c r="M34" s="16">
        <f>0.9*0.5*L34*D34</f>
        <v>10009.985438719998</v>
      </c>
      <c r="N34" s="33">
        <f>(M34-'500 feet'!M34)/'500 feet'!M34</f>
        <v>0.5922254616132165</v>
      </c>
      <c r="O34" s="14">
        <f>M34*0.07*24*30/1000</f>
        <v>504.5032661114879</v>
      </c>
      <c r="P34" s="15">
        <v>500</v>
      </c>
      <c r="Q34" s="16">
        <f>0.5*229.2*K34/R34</f>
        <v>1248.3759999999997</v>
      </c>
      <c r="R34" s="15">
        <v>8</v>
      </c>
      <c r="S34" s="35">
        <f>(Q34-'500 feet'!P34)/'500 feet'!P34</f>
        <v>-0.08571428571428581</v>
      </c>
    </row>
    <row r="35" spans="1:19" ht="12.75">
      <c r="A35" s="10"/>
      <c r="B35" s="10"/>
      <c r="C35" s="10"/>
      <c r="D35" s="16"/>
      <c r="E35" s="15"/>
      <c r="F35" s="12"/>
      <c r="G35" s="10"/>
      <c r="H35" s="10"/>
      <c r="I35" s="10"/>
      <c r="J35" s="10"/>
      <c r="K35" s="10"/>
      <c r="L35" s="16"/>
      <c r="M35" s="16"/>
      <c r="N35" s="33"/>
      <c r="O35" s="10"/>
      <c r="P35" s="15"/>
      <c r="Q35" s="10"/>
      <c r="R35" s="15"/>
      <c r="S35" s="10"/>
    </row>
    <row r="36" spans="1:19" ht="12.75">
      <c r="A36" s="10"/>
      <c r="B36" s="10"/>
      <c r="C36" s="10"/>
      <c r="D36" s="16"/>
      <c r="E36" s="15"/>
      <c r="F36" s="12"/>
      <c r="G36" s="10"/>
      <c r="H36" s="10"/>
      <c r="I36" s="10"/>
      <c r="J36" s="10"/>
      <c r="K36" s="10"/>
      <c r="L36" s="16"/>
      <c r="M36" s="16"/>
      <c r="N36" s="10"/>
      <c r="O36" s="10"/>
      <c r="P36" s="15"/>
      <c r="Q36" s="10"/>
      <c r="R36" s="15"/>
      <c r="S36" s="10"/>
    </row>
    <row r="37" spans="1:19" ht="12.75">
      <c r="A37" s="10"/>
      <c r="B37" s="10"/>
      <c r="C37" s="10"/>
      <c r="D37" s="16"/>
      <c r="E37" s="15"/>
      <c r="F37" s="12"/>
      <c r="G37" s="10"/>
      <c r="H37" s="10"/>
      <c r="I37" s="10"/>
      <c r="J37" s="10"/>
      <c r="K37" s="10"/>
      <c r="L37" s="16"/>
      <c r="M37" s="16"/>
      <c r="N37" s="10"/>
      <c r="O37" s="10"/>
      <c r="P37" s="15"/>
      <c r="Q37" s="10"/>
      <c r="R37" s="15"/>
      <c r="S37" s="10"/>
    </row>
    <row r="38" spans="1:19" ht="12.75">
      <c r="A38" s="10"/>
      <c r="B38" s="10"/>
      <c r="C38" s="10"/>
      <c r="D38" s="10"/>
      <c r="E38" s="15"/>
      <c r="F38" s="12"/>
      <c r="G38" s="10"/>
      <c r="H38" s="10"/>
      <c r="I38" s="10"/>
      <c r="J38" s="10"/>
      <c r="K38" s="10"/>
      <c r="L38" s="16"/>
      <c r="M38" s="16"/>
      <c r="N38" s="10"/>
      <c r="O38" s="10"/>
      <c r="P38" s="15"/>
      <c r="Q38" s="10"/>
      <c r="R38" s="15"/>
      <c r="S38" s="10"/>
    </row>
  </sheetData>
  <printOptions/>
  <pageMargins left="0.75" right="0.75" top="1" bottom="0.3" header="0.5" footer="0.26"/>
  <pageSetup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75" zoomScaleNormal="75" workbookViewId="0" topLeftCell="A6">
      <selection activeCell="A29" sqref="A29"/>
    </sheetView>
  </sheetViews>
  <sheetFormatPr defaultColWidth="9.140625" defaultRowHeight="12.75"/>
  <cols>
    <col min="2" max="2" width="9.140625" style="7" customWidth="1"/>
    <col min="3" max="3" width="11.421875" style="0" customWidth="1"/>
    <col min="4" max="4" width="7.7109375" style="0" customWidth="1"/>
    <col min="5" max="5" width="6.8515625" style="7" customWidth="1"/>
    <col min="6" max="6" width="7.00390625" style="1" customWidth="1"/>
    <col min="7" max="7" width="2.57421875" style="0" customWidth="1"/>
    <col min="8" max="8" width="0.9921875" style="0" customWidth="1"/>
    <col min="12" max="13" width="9.140625" style="5" customWidth="1"/>
    <col min="14" max="14" width="10.28125" style="0" customWidth="1"/>
    <col min="16" max="16" width="10.00390625" style="7" customWidth="1"/>
    <col min="17" max="17" width="11.7109375" style="0" customWidth="1"/>
    <col min="18" max="18" width="9.140625" style="15" customWidth="1"/>
  </cols>
  <sheetData>
    <row r="1" spans="1:19" ht="15.75">
      <c r="A1" s="26" t="s">
        <v>36</v>
      </c>
      <c r="B1" s="15"/>
      <c r="C1" s="10"/>
      <c r="D1" s="10"/>
      <c r="E1" s="15"/>
      <c r="F1" s="12"/>
      <c r="G1" s="10"/>
      <c r="H1" s="10"/>
      <c r="I1" s="10"/>
      <c r="J1" s="10"/>
      <c r="K1" s="10"/>
      <c r="L1" s="16"/>
      <c r="M1" s="16"/>
      <c r="N1" s="10"/>
      <c r="O1" s="10"/>
      <c r="P1" s="15"/>
      <c r="Q1" s="10"/>
      <c r="S1" s="10"/>
    </row>
    <row r="2" spans="1:19" ht="12.75">
      <c r="A2" s="9" t="s">
        <v>45</v>
      </c>
      <c r="B2" s="15"/>
      <c r="C2" s="12"/>
      <c r="D2" s="16"/>
      <c r="E2" s="15"/>
      <c r="F2" s="12"/>
      <c r="G2" s="12"/>
      <c r="H2" s="12"/>
      <c r="I2" s="12"/>
      <c r="J2" s="12"/>
      <c r="K2" s="12"/>
      <c r="L2" s="16"/>
      <c r="M2" s="16"/>
      <c r="N2" s="33"/>
      <c r="O2" s="14"/>
      <c r="P2" s="15"/>
      <c r="Q2" s="10"/>
      <c r="S2" s="10"/>
    </row>
    <row r="3" spans="1:19" ht="76.5">
      <c r="A3" s="9" t="s">
        <v>0</v>
      </c>
      <c r="B3" s="17" t="s">
        <v>18</v>
      </c>
      <c r="C3" s="23" t="s">
        <v>14</v>
      </c>
      <c r="D3" s="24" t="s">
        <v>15</v>
      </c>
      <c r="E3" s="17" t="s">
        <v>13</v>
      </c>
      <c r="F3" s="23" t="s">
        <v>12</v>
      </c>
      <c r="G3" s="19" t="s">
        <v>1</v>
      </c>
      <c r="H3" s="20" t="s">
        <v>2</v>
      </c>
      <c r="I3" s="18" t="s">
        <v>11</v>
      </c>
      <c r="J3" s="17" t="s">
        <v>10</v>
      </c>
      <c r="K3" s="18" t="s">
        <v>17</v>
      </c>
      <c r="L3" s="24" t="s">
        <v>39</v>
      </c>
      <c r="M3" s="24" t="s">
        <v>40</v>
      </c>
      <c r="N3" s="34" t="s">
        <v>16</v>
      </c>
      <c r="O3" s="22" t="s">
        <v>7</v>
      </c>
      <c r="P3" s="18" t="s">
        <v>8</v>
      </c>
      <c r="Q3" s="20" t="s">
        <v>3</v>
      </c>
      <c r="R3" s="17" t="s">
        <v>4</v>
      </c>
      <c r="S3" s="36" t="s">
        <v>37</v>
      </c>
    </row>
    <row r="4" spans="1:19" ht="12.75">
      <c r="A4" s="10">
        <v>22</v>
      </c>
      <c r="B4" s="15">
        <v>25</v>
      </c>
      <c r="C4" s="12">
        <v>2</v>
      </c>
      <c r="D4" s="32">
        <v>4</v>
      </c>
      <c r="E4" s="15">
        <v>0.25</v>
      </c>
      <c r="F4" s="12">
        <f>1200*G4*I4^2/C4/2/32.17*P4/100</f>
        <v>5.940727775232176</v>
      </c>
      <c r="G4" s="13">
        <f>LOG((0.00015*12/C4/3.7)+5.74/H4^0.9)^-2*0.25</f>
        <v>0.025240035015713123</v>
      </c>
      <c r="H4" s="16">
        <f>7745.8*I4*C4/1</f>
        <v>34805.7523</v>
      </c>
      <c r="I4" s="12">
        <f>0.4085*A4/C4^2</f>
        <v>2.24675</v>
      </c>
      <c r="J4" s="30">
        <f>((64.34*(B4-F4))^0.5)</f>
        <v>35.01818920135023</v>
      </c>
      <c r="K4" s="30">
        <f>0.4085*A4/D4/E4^2</f>
        <v>35.948</v>
      </c>
      <c r="L4" s="32">
        <f>0.000002929*A4*K4^2/D4*1000</f>
        <v>20.817641592088002</v>
      </c>
      <c r="M4" s="16">
        <f>0.9*0.5*L4*D4</f>
        <v>37.471754865758406</v>
      </c>
      <c r="N4" s="33">
        <f>(M4-'500 feet'!M4)/'500 feet'!M4</f>
        <v>0</v>
      </c>
      <c r="O4" s="14">
        <f>M4*0.07*24*30/1000</f>
        <v>1.888576445234224</v>
      </c>
      <c r="P4" s="15">
        <v>500</v>
      </c>
      <c r="Q4" s="16">
        <f>0.5*229.2*K4/R4</f>
        <v>1029.9102</v>
      </c>
      <c r="R4" s="15">
        <v>4</v>
      </c>
      <c r="S4" s="35">
        <f>(Q4-'500 feet'!P4)/'500 feet'!P4</f>
        <v>0</v>
      </c>
    </row>
    <row r="5" spans="1:19" ht="12.75">
      <c r="A5" s="10">
        <v>31</v>
      </c>
      <c r="B5" s="15">
        <v>50</v>
      </c>
      <c r="C5" s="12">
        <v>2</v>
      </c>
      <c r="D5" s="32">
        <v>4</v>
      </c>
      <c r="E5" s="15">
        <v>0.25</v>
      </c>
      <c r="F5" s="12">
        <f>1200*G5*I5^2/C5/2/32.17*P5/100</f>
        <v>11.193720649097845</v>
      </c>
      <c r="G5" s="13">
        <f>LOG((0.00015*12/C5/3.7)+5.74/H5^0.9)^-2*0.25</f>
        <v>0.023952273361978214</v>
      </c>
      <c r="H5" s="16">
        <f>7745.8*I5*C5/1</f>
        <v>49044.46915</v>
      </c>
      <c r="I5" s="12">
        <f>0.4085*A5/C5^2</f>
        <v>3.1658749999999998</v>
      </c>
      <c r="J5" s="30">
        <f>((64.34*(B5-F5))^0.5)</f>
        <v>49.96794986225716</v>
      </c>
      <c r="K5" s="30">
        <f>0.4085*A5/D5/E5^2</f>
        <v>50.653999999999996</v>
      </c>
      <c r="L5" s="32">
        <f>0.000002929*A5*K5^2/D5*1000</f>
        <v>58.243647696271</v>
      </c>
      <c r="M5" s="16">
        <f>0.9*0.5*L5*D5</f>
        <v>104.8385658532878</v>
      </c>
      <c r="N5" s="33">
        <f>(M5-'500 feet'!M5)/'500 feet'!M5</f>
        <v>0</v>
      </c>
      <c r="O5" s="14">
        <f>M5*0.07*24*30/1000</f>
        <v>5.283863719005705</v>
      </c>
      <c r="P5" s="15">
        <v>500</v>
      </c>
      <c r="Q5" s="16">
        <f>0.5*229.2*K5/R5</f>
        <v>1451.2370999999998</v>
      </c>
      <c r="R5" s="15">
        <v>4</v>
      </c>
      <c r="S5" s="35">
        <f>(Q5-'500 feet'!P5)/'500 feet'!P5</f>
        <v>0</v>
      </c>
    </row>
    <row r="6" spans="1:19" ht="12.75">
      <c r="A6" s="10">
        <v>38</v>
      </c>
      <c r="B6" s="15">
        <v>75</v>
      </c>
      <c r="C6" s="12">
        <v>2</v>
      </c>
      <c r="D6" s="32">
        <v>4</v>
      </c>
      <c r="E6" s="15">
        <v>0.25</v>
      </c>
      <c r="F6" s="12">
        <f>1200*G6*I6^2/C6/2/32.17*P6/100</f>
        <v>16.362066392336306</v>
      </c>
      <c r="G6" s="13">
        <f>LOG((0.00015*12/C6/3.7)+5.74/H6^0.9)^-2*0.25</f>
        <v>0.023300574014704506</v>
      </c>
      <c r="H6" s="16">
        <f>7745.8*I6*C6/1</f>
        <v>60119.0267</v>
      </c>
      <c r="I6" s="12">
        <f>0.4085*A6/C6^2</f>
        <v>3.88075</v>
      </c>
      <c r="J6" s="30">
        <f>((64.34*(B6-F6))^0.5)</f>
        <v>61.42283490947876</v>
      </c>
      <c r="K6" s="30">
        <f>0.4085*A6/D6/E6^2</f>
        <v>62.092</v>
      </c>
      <c r="L6" s="32">
        <f>0.000002929*A6*K6^2/D6*1000</f>
        <v>107.278890819032</v>
      </c>
      <c r="M6" s="16">
        <f>0.9*0.5*L6*D6</f>
        <v>193.1020034742576</v>
      </c>
      <c r="N6" s="33">
        <f>(M6-'500 feet'!M6)/'500 feet'!M6</f>
        <v>0</v>
      </c>
      <c r="O6" s="14">
        <f>M6*0.07*24*30/1000</f>
        <v>9.732340975102582</v>
      </c>
      <c r="P6" s="15">
        <v>500</v>
      </c>
      <c r="Q6" s="16">
        <f>0.5*229.2*K6/R6</f>
        <v>1778.9358</v>
      </c>
      <c r="R6" s="15">
        <v>4</v>
      </c>
      <c r="S6" s="35">
        <f>(Q6-'500 feet'!P6)/'500 feet'!P6</f>
        <v>0</v>
      </c>
    </row>
    <row r="7" spans="1:19" ht="12.75">
      <c r="A7" s="10">
        <v>44</v>
      </c>
      <c r="B7" s="15">
        <v>100</v>
      </c>
      <c r="C7" s="12">
        <v>2</v>
      </c>
      <c r="D7" s="32">
        <v>4</v>
      </c>
      <c r="E7" s="15">
        <v>0.25</v>
      </c>
      <c r="F7" s="12">
        <f>1200*G7*I7^2/C7/2/32.17*P7/100</f>
        <v>21.539647857478236</v>
      </c>
      <c r="G7" s="13">
        <f>LOG((0.00015*12/C7/3.7)+5.74/H7^0.9)^-2*0.25</f>
        <v>0.022878571730533193</v>
      </c>
      <c r="H7" s="16">
        <f>7745.8*I7*C7/1</f>
        <v>69611.5046</v>
      </c>
      <c r="I7" s="12">
        <f>0.4085*A7/C7^2</f>
        <v>4.4935</v>
      </c>
      <c r="J7" s="30">
        <f>((64.34*(B7-F7))^0.5)</f>
        <v>71.0502572609688</v>
      </c>
      <c r="K7" s="30">
        <f>0.4085*A7/D7/E7^2</f>
        <v>71.896</v>
      </c>
      <c r="L7" s="32">
        <f>0.000002929*A7*K7^2/D7*1000</f>
        <v>166.54113273670401</v>
      </c>
      <c r="M7" s="16">
        <f>0.9*0.5*L7*D7</f>
        <v>299.77403892606725</v>
      </c>
      <c r="N7" s="33">
        <f>(M7-'500 feet'!M7)/'500 feet'!M7</f>
        <v>0</v>
      </c>
      <c r="O7" s="14">
        <f>M7*0.07*24*30/1000</f>
        <v>15.108611561873792</v>
      </c>
      <c r="P7" s="15">
        <v>500</v>
      </c>
      <c r="Q7" s="16">
        <f>0.5*229.2*K7/R7</f>
        <v>1373.2136</v>
      </c>
      <c r="R7" s="15">
        <v>6</v>
      </c>
      <c r="S7" s="35">
        <f>(Q7-'500 feet'!P7)/'500 feet'!P7</f>
        <v>0</v>
      </c>
    </row>
    <row r="8" spans="1:19" ht="12.75">
      <c r="A8" s="10">
        <v>54</v>
      </c>
      <c r="B8" s="15">
        <v>150</v>
      </c>
      <c r="C8" s="12">
        <v>2</v>
      </c>
      <c r="D8" s="32">
        <v>4</v>
      </c>
      <c r="E8" s="15">
        <v>0.25</v>
      </c>
      <c r="F8" s="12">
        <f>1200*G8*I8^2/C8/2/32.17*P8/100</f>
        <v>31.693700091123798</v>
      </c>
      <c r="G8" s="13">
        <f>LOG((0.00015*12/C8/3.7)+5.74/H8^0.9)^-2*0.25</f>
        <v>0.02235018319019161</v>
      </c>
      <c r="H8" s="16">
        <f>7745.8*I8*C8/1</f>
        <v>85432.3011</v>
      </c>
      <c r="I8" s="12">
        <f>0.4085*A8/C8^2</f>
        <v>5.514749999999999</v>
      </c>
      <c r="J8" s="30">
        <f>((64.34*(B8-F8))^0.5)</f>
        <v>87.2457869248544</v>
      </c>
      <c r="K8" s="30">
        <f>0.4085*A8/D8/E8^2</f>
        <v>88.23599999999999</v>
      </c>
      <c r="L8" s="32">
        <f>0.000002929*A8*K8^2/D8*1000</f>
        <v>307.853974047384</v>
      </c>
      <c r="M8" s="16">
        <f>0.9*0.5*L8*D8</f>
        <v>554.1371532852912</v>
      </c>
      <c r="N8" s="33">
        <f>(M8-'500 feet'!M8)/'500 feet'!M8</f>
        <v>0</v>
      </c>
      <c r="O8" s="14">
        <f>M8*0.07*24*30/1000</f>
        <v>27.928512525578682</v>
      </c>
      <c r="P8" s="15">
        <v>500</v>
      </c>
      <c r="Q8" s="16">
        <f>0.5*229.2*K8/R8</f>
        <v>1685.3075999999999</v>
      </c>
      <c r="R8" s="15">
        <v>6</v>
      </c>
      <c r="S8" s="35">
        <f>(Q8-'500 feet'!P8)/'500 feet'!P8</f>
        <v>0</v>
      </c>
    </row>
    <row r="9" spans="1:19" ht="12.75">
      <c r="A9" s="10"/>
      <c r="B9" s="15"/>
      <c r="C9" s="10"/>
      <c r="D9" s="10"/>
      <c r="E9" s="15"/>
      <c r="F9" s="12"/>
      <c r="G9" s="10"/>
      <c r="H9" s="10"/>
      <c r="I9" s="10"/>
      <c r="J9" s="10"/>
      <c r="K9" s="10"/>
      <c r="L9" s="16"/>
      <c r="M9" s="16"/>
      <c r="N9" s="10"/>
      <c r="O9" s="10"/>
      <c r="P9" s="15"/>
      <c r="Q9" s="10"/>
      <c r="S9" s="10"/>
    </row>
    <row r="10" spans="1:19" ht="12.75">
      <c r="A10" s="9" t="s">
        <v>46</v>
      </c>
      <c r="B10" s="15"/>
      <c r="C10" s="12"/>
      <c r="D10" s="16"/>
      <c r="E10" s="15"/>
      <c r="F10" s="12"/>
      <c r="G10" s="12"/>
      <c r="H10" s="12"/>
      <c r="I10" s="12"/>
      <c r="J10" s="12"/>
      <c r="K10" s="12"/>
      <c r="L10" s="16"/>
      <c r="M10" s="16"/>
      <c r="N10" s="33"/>
      <c r="O10" s="14"/>
      <c r="P10" s="15"/>
      <c r="Q10" s="10"/>
      <c r="S10" s="10"/>
    </row>
    <row r="11" spans="1:19" ht="76.5">
      <c r="A11" s="9" t="s">
        <v>0</v>
      </c>
      <c r="B11" s="17" t="s">
        <v>18</v>
      </c>
      <c r="C11" s="23" t="s">
        <v>14</v>
      </c>
      <c r="D11" s="24" t="s">
        <v>15</v>
      </c>
      <c r="E11" s="17" t="s">
        <v>13</v>
      </c>
      <c r="F11" s="23" t="s">
        <v>12</v>
      </c>
      <c r="G11" s="19" t="s">
        <v>1</v>
      </c>
      <c r="H11" s="20" t="s">
        <v>2</v>
      </c>
      <c r="I11" s="18" t="s">
        <v>11</v>
      </c>
      <c r="J11" s="17" t="s">
        <v>10</v>
      </c>
      <c r="K11" s="18" t="s">
        <v>17</v>
      </c>
      <c r="L11" s="24" t="s">
        <v>39</v>
      </c>
      <c r="M11" s="24" t="s">
        <v>40</v>
      </c>
      <c r="N11" s="34" t="s">
        <v>16</v>
      </c>
      <c r="O11" s="22" t="s">
        <v>7</v>
      </c>
      <c r="P11" s="18" t="s">
        <v>8</v>
      </c>
      <c r="Q11" s="20" t="s">
        <v>3</v>
      </c>
      <c r="R11" s="17" t="s">
        <v>4</v>
      </c>
      <c r="S11" s="36" t="s">
        <v>37</v>
      </c>
    </row>
    <row r="12" spans="1:19" ht="12.75">
      <c r="A12" s="10">
        <v>79</v>
      </c>
      <c r="B12" s="15">
        <v>25</v>
      </c>
      <c r="C12" s="12">
        <v>3</v>
      </c>
      <c r="D12" s="32">
        <v>4</v>
      </c>
      <c r="E12" s="15">
        <v>0.5</v>
      </c>
      <c r="F12" s="12">
        <f>1200*G12*I12^2/C12/2/32.17*P12/100</f>
        <v>8.519004640071827</v>
      </c>
      <c r="G12" s="13">
        <f>LOG((0.00015*12/C12/3.7)+5.74/H12^0.9)^-2*0.25</f>
        <v>0.021315063473397174</v>
      </c>
      <c r="H12" s="16">
        <f>7745.8*I12*C12/1</f>
        <v>83322.86156666666</v>
      </c>
      <c r="I12" s="12">
        <f>0.4085*A12/C12^2</f>
        <v>3.5857222222222216</v>
      </c>
      <c r="J12" s="30">
        <f>((64.34*(B12-F12))^0.5)</f>
        <v>32.56358766256842</v>
      </c>
      <c r="K12" s="30">
        <f>0.4085*A12/D12/E12^2</f>
        <v>32.271499999999996</v>
      </c>
      <c r="L12" s="32">
        <f>0.000002929*A12*K12^2/D12*1000</f>
        <v>60.245522591809916</v>
      </c>
      <c r="M12" s="16">
        <f>0.9*0.5*L12*D12</f>
        <v>108.44194066525785</v>
      </c>
      <c r="N12" s="33">
        <f>(M12-'500 feet'!M12)/'500 feet'!M12</f>
        <v>-0.03703320312500025</v>
      </c>
      <c r="O12" s="14">
        <f>M12*0.07*24*30/1000</f>
        <v>5.465473809528996</v>
      </c>
      <c r="P12" s="15">
        <v>500</v>
      </c>
      <c r="Q12" s="16">
        <f>0.5*229.2*K12/R12</f>
        <v>924.5784749999998</v>
      </c>
      <c r="R12" s="15">
        <v>4</v>
      </c>
      <c r="S12" s="35">
        <f>(Q12-'500 feet'!P12)/'500 feet'!P12</f>
        <v>-0.012500000000000136</v>
      </c>
    </row>
    <row r="13" spans="1:19" ht="12.75">
      <c r="A13" s="10">
        <v>114</v>
      </c>
      <c r="B13" s="15">
        <v>50</v>
      </c>
      <c r="C13" s="12">
        <v>3</v>
      </c>
      <c r="D13" s="32">
        <v>4</v>
      </c>
      <c r="E13" s="15">
        <v>0.5</v>
      </c>
      <c r="F13" s="12">
        <f>1200*G13*I13^2/C13/2/32.17*P13/100</f>
        <v>16.980918614790053</v>
      </c>
      <c r="G13" s="13">
        <f>LOG((0.00015*12/C13/3.7)+5.74/H13^0.9)^-2*0.25</f>
        <v>0.020403441910664268</v>
      </c>
      <c r="H13" s="16">
        <f>7745.8*I13*C13/1</f>
        <v>120238.05339999999</v>
      </c>
      <c r="I13" s="12">
        <f>0.4085*A13/C13^2</f>
        <v>5.174333333333333</v>
      </c>
      <c r="J13" s="30">
        <f>((64.34*(B13-F13))^0.5)</f>
        <v>46.09173132270481</v>
      </c>
      <c r="K13" s="30">
        <f>0.4085*A13/D13/E13^2</f>
        <v>46.568999999999996</v>
      </c>
      <c r="L13" s="32">
        <f>0.000002929*A13*K13^2/D13*1000</f>
        <v>181.03312825711646</v>
      </c>
      <c r="M13" s="16">
        <f>0.9*0.5*L13*D13</f>
        <v>325.85963086280964</v>
      </c>
      <c r="N13" s="33">
        <f>(M13-'500 feet'!M13)/'500 feet'!M13</f>
        <v>0.02678430962154588</v>
      </c>
      <c r="O13" s="14">
        <f>M13*0.07*24*30/1000</f>
        <v>16.423325395485605</v>
      </c>
      <c r="P13" s="15">
        <v>500</v>
      </c>
      <c r="Q13" s="16">
        <f>0.5*229.2*K13/R13</f>
        <v>1334.2018499999997</v>
      </c>
      <c r="R13" s="15">
        <v>4</v>
      </c>
      <c r="S13" s="35">
        <f>(Q13-'500 feet'!P13)/'500 feet'!P13</f>
        <v>0.008849557522123819</v>
      </c>
    </row>
    <row r="14" spans="1:19" ht="12.75">
      <c r="A14" s="10">
        <v>140</v>
      </c>
      <c r="B14" s="15">
        <v>75</v>
      </c>
      <c r="C14" s="12">
        <v>3</v>
      </c>
      <c r="D14" s="32">
        <v>4</v>
      </c>
      <c r="E14" s="15">
        <v>0.5</v>
      </c>
      <c r="F14" s="12">
        <f>1200*G14*I14^2/C14/2/32.17*P14/100</f>
        <v>25.073609505338613</v>
      </c>
      <c r="G14" s="13">
        <f>LOG((0.00015*12/C14/3.7)+5.74/H14^0.9)^-2*0.25</f>
        <v>0.019976193887511044</v>
      </c>
      <c r="H14" s="16">
        <f>7745.8*I14*C14/1</f>
        <v>147660.76733333332</v>
      </c>
      <c r="I14" s="12">
        <f>0.4085*A14/C14^2</f>
        <v>6.354444444444444</v>
      </c>
      <c r="J14" s="30">
        <f>((64.34*(B14-F14))^0.5)</f>
        <v>56.67683798895731</v>
      </c>
      <c r="K14" s="30">
        <f>0.4085*A14/D14/E14^2</f>
        <v>57.19</v>
      </c>
      <c r="L14" s="32">
        <f>0.000002929*A14*K14^2/D14*1000</f>
        <v>335.2954106914999</v>
      </c>
      <c r="M14" s="16">
        <f>0.9*0.5*L14*D14</f>
        <v>603.5317392446999</v>
      </c>
      <c r="N14" s="33">
        <f>(M14-'500 feet'!M14)/'500 feet'!M14</f>
        <v>0.04411142464894416</v>
      </c>
      <c r="O14" s="14">
        <f>M14*0.07*24*30/1000</f>
        <v>30.417999657932878</v>
      </c>
      <c r="P14" s="15">
        <v>500</v>
      </c>
      <c r="Q14" s="16">
        <f>0.5*229.2*K14/R14</f>
        <v>1092.329</v>
      </c>
      <c r="R14" s="15">
        <v>6</v>
      </c>
      <c r="S14" s="35">
        <f>(Q14-'500 feet'!P14)/'500 feet'!P14</f>
        <v>0.014492753623188494</v>
      </c>
    </row>
    <row r="15" spans="1:19" ht="12.75">
      <c r="A15" s="10">
        <v>160</v>
      </c>
      <c r="B15" s="15">
        <v>100</v>
      </c>
      <c r="C15" s="12">
        <v>3</v>
      </c>
      <c r="D15" s="32">
        <v>4</v>
      </c>
      <c r="E15" s="15">
        <v>0.5</v>
      </c>
      <c r="F15" s="12">
        <f>1200*G15*I15^2/C15/2/32.17*P15/100</f>
        <v>32.341358078369346</v>
      </c>
      <c r="G15" s="13">
        <f>LOG((0.00015*12/C15/3.7)+5.74/H15^0.9)^-2*0.25</f>
        <v>0.019727417942438118</v>
      </c>
      <c r="H15" s="16">
        <f>7745.8*I15*C15/1</f>
        <v>168755.16266666667</v>
      </c>
      <c r="I15" s="12">
        <f>0.4085*A15/C15^2</f>
        <v>7.262222222222222</v>
      </c>
      <c r="J15" s="30">
        <f>((64.34*(B15-F15))^0.5)</f>
        <v>65.97845876676506</v>
      </c>
      <c r="K15" s="30">
        <f>0.4085*A15/D15/E15^2</f>
        <v>65.36</v>
      </c>
      <c r="L15" s="32">
        <f>0.000002929*A15*K15^2/D15*1000</f>
        <v>500.49927193599996</v>
      </c>
      <c r="M15" s="16">
        <f>0.9*0.5*L15*D15</f>
        <v>900.8986894847999</v>
      </c>
      <c r="N15" s="33">
        <f>(M15-'500 feet'!M15)/'500 feet'!M15</f>
        <v>-0.018518043716682153</v>
      </c>
      <c r="O15" s="14">
        <f>M15*0.07*24*30/1000</f>
        <v>45.40529395003392</v>
      </c>
      <c r="P15" s="15">
        <v>500</v>
      </c>
      <c r="Q15" s="16">
        <f>0.5*229.2*K15/R15</f>
        <v>1248.376</v>
      </c>
      <c r="R15" s="15">
        <v>6</v>
      </c>
      <c r="S15" s="35">
        <f>(Q15-'500 feet'!P15)/'500 feet'!P15</f>
        <v>-0.00621118012422337</v>
      </c>
    </row>
    <row r="16" spans="1:19" ht="12.75">
      <c r="A16" s="10">
        <v>197</v>
      </c>
      <c r="B16" s="15">
        <v>150</v>
      </c>
      <c r="C16" s="12">
        <v>3</v>
      </c>
      <c r="D16" s="32">
        <v>4</v>
      </c>
      <c r="E16" s="15">
        <v>0.5</v>
      </c>
      <c r="F16" s="12">
        <f>1200*G16*I16^2/C16/2/32.17*P16/100</f>
        <v>48.168947134115314</v>
      </c>
      <c r="G16" s="13">
        <f>LOG((0.00015*12/C16/3.7)+5.74/H16^0.9)^-2*0.25</f>
        <v>0.019381467595552322</v>
      </c>
      <c r="H16" s="16">
        <f>7745.8*I16*C16/1</f>
        <v>207779.7940333333</v>
      </c>
      <c r="I16" s="12">
        <f>0.4085*A16/C16^2</f>
        <v>8.94161111111111</v>
      </c>
      <c r="J16" s="30">
        <f>((64.34*(B16-F16))^0.5)</f>
        <v>80.94325136409472</v>
      </c>
      <c r="K16" s="30">
        <f>0.4085*A16/D16/E16^2</f>
        <v>80.47449999999999</v>
      </c>
      <c r="L16" s="32">
        <f>0.000002929*A16*K16^2/D16*1000</f>
        <v>934.2049853953005</v>
      </c>
      <c r="M16" s="16">
        <f>0.9*0.5*L16*D16</f>
        <v>1681.5689737115408</v>
      </c>
      <c r="N16" s="33">
        <f>(M16-'500 feet'!M16)/'500 feet'!M16</f>
        <v>0</v>
      </c>
      <c r="O16" s="14">
        <f>M16*0.07*24*30/1000</f>
        <v>84.75107627506165</v>
      </c>
      <c r="P16" s="15">
        <v>500</v>
      </c>
      <c r="Q16" s="16">
        <f>0.5*229.2*K16/R16</f>
        <v>1537.0629499999998</v>
      </c>
      <c r="R16" s="15">
        <v>6</v>
      </c>
      <c r="S16" s="35">
        <f>(Q16-'500 feet'!P16)/'500 feet'!P16</f>
        <v>0</v>
      </c>
    </row>
    <row r="17" spans="1:19" ht="12.75">
      <c r="A17" s="10"/>
      <c r="B17" s="15"/>
      <c r="C17" s="12"/>
      <c r="D17" s="16"/>
      <c r="E17" s="15"/>
      <c r="F17" s="12"/>
      <c r="G17" s="10"/>
      <c r="H17" s="10"/>
      <c r="I17" s="12"/>
      <c r="J17" s="12"/>
      <c r="K17" s="12"/>
      <c r="L17" s="16"/>
      <c r="M17" s="16"/>
      <c r="N17" s="33"/>
      <c r="O17" s="14"/>
      <c r="P17" s="15"/>
      <c r="Q17" s="10"/>
      <c r="S17" s="10"/>
    </row>
    <row r="18" spans="1:19" ht="12.75">
      <c r="A18" s="10"/>
      <c r="B18" s="15"/>
      <c r="C18" s="10"/>
      <c r="D18" s="16"/>
      <c r="E18" s="15"/>
      <c r="F18" s="12"/>
      <c r="G18" s="10"/>
      <c r="H18" s="10"/>
      <c r="I18" s="10"/>
      <c r="J18" s="10"/>
      <c r="K18" s="10"/>
      <c r="L18" s="16"/>
      <c r="M18" s="16"/>
      <c r="N18" s="33"/>
      <c r="O18" s="10"/>
      <c r="P18" s="15"/>
      <c r="Q18" s="10"/>
      <c r="S18" s="10"/>
    </row>
    <row r="19" spans="1:19" ht="12.75">
      <c r="A19" s="9" t="s">
        <v>47</v>
      </c>
      <c r="B19" s="15"/>
      <c r="C19" s="12"/>
      <c r="D19" s="16"/>
      <c r="E19" s="15"/>
      <c r="F19" s="12"/>
      <c r="G19" s="12"/>
      <c r="H19" s="12"/>
      <c r="I19" s="12"/>
      <c r="J19" s="12"/>
      <c r="K19" s="12"/>
      <c r="L19" s="16"/>
      <c r="M19" s="16"/>
      <c r="N19" s="33"/>
      <c r="O19" s="14"/>
      <c r="P19" s="15"/>
      <c r="Q19" s="10"/>
      <c r="S19" s="10"/>
    </row>
    <row r="20" spans="1:19" ht="76.5">
      <c r="A20" s="9" t="s">
        <v>0</v>
      </c>
      <c r="B20" s="17" t="s">
        <v>18</v>
      </c>
      <c r="C20" s="23" t="s">
        <v>14</v>
      </c>
      <c r="D20" s="24" t="s">
        <v>15</v>
      </c>
      <c r="E20" s="17" t="s">
        <v>13</v>
      </c>
      <c r="F20" s="23" t="s">
        <v>12</v>
      </c>
      <c r="G20" s="19" t="s">
        <v>1</v>
      </c>
      <c r="H20" s="20" t="s">
        <v>2</v>
      </c>
      <c r="I20" s="18" t="s">
        <v>11</v>
      </c>
      <c r="J20" s="17" t="s">
        <v>10</v>
      </c>
      <c r="K20" s="18" t="s">
        <v>17</v>
      </c>
      <c r="L20" s="24" t="s">
        <v>39</v>
      </c>
      <c r="M20" s="24" t="s">
        <v>40</v>
      </c>
      <c r="N20" s="34" t="s">
        <v>16</v>
      </c>
      <c r="O20" s="22" t="s">
        <v>7</v>
      </c>
      <c r="P20" s="18" t="s">
        <v>8</v>
      </c>
      <c r="Q20" s="20" t="s">
        <v>3</v>
      </c>
      <c r="R20" s="17" t="s">
        <v>4</v>
      </c>
      <c r="S20" s="36" t="s">
        <v>37</v>
      </c>
    </row>
    <row r="21" spans="1:19" ht="12.75">
      <c r="A21" s="10">
        <v>175</v>
      </c>
      <c r="B21" s="15">
        <v>25</v>
      </c>
      <c r="C21" s="12">
        <v>4</v>
      </c>
      <c r="D21" s="32">
        <v>4</v>
      </c>
      <c r="E21" s="15">
        <v>0.75</v>
      </c>
      <c r="F21" s="12">
        <f>1200*G21*I21^2/C21/2/32.17*P21/100</f>
        <v>9.028118105700381</v>
      </c>
      <c r="G21" s="13">
        <f>LOG((0.00015*12/C21/3.7)+5.74/H21^0.9)^-2*0.25</f>
        <v>0.01939843864714869</v>
      </c>
      <c r="H21" s="16">
        <f>7745.8*I21*C21/1</f>
        <v>138431.969375</v>
      </c>
      <c r="I21" s="12">
        <f>0.4085*A21/C21^2</f>
        <v>4.46796875</v>
      </c>
      <c r="J21" s="30">
        <f>((64.34*(B21-F21))^0.5)</f>
        <v>32.056682315536605</v>
      </c>
      <c r="K21" s="30">
        <f>0.4085*A21/D21/E21^2</f>
        <v>31.772222222222222</v>
      </c>
      <c r="L21" s="32">
        <f>0.000002929*A21*K21^2/D21*1000</f>
        <v>129.35779733468362</v>
      </c>
      <c r="M21" s="16">
        <f>0.9*0.5*L21*D21</f>
        <v>232.84403520243052</v>
      </c>
      <c r="N21" s="33">
        <f>(M21-'500 feet'!M21)/'500 feet'!M21</f>
        <v>0</v>
      </c>
      <c r="O21" s="14">
        <f>M21*0.07*24*30/1000</f>
        <v>11.735339374202498</v>
      </c>
      <c r="P21" s="15">
        <v>500</v>
      </c>
      <c r="Q21" s="16">
        <f>0.5*229.2*K21/R21</f>
        <v>910.2741666666666</v>
      </c>
      <c r="R21" s="15">
        <v>4</v>
      </c>
      <c r="S21" s="35">
        <f>(Q21-'500 feet'!P21)/'500 feet'!P21</f>
        <v>0</v>
      </c>
    </row>
    <row r="22" spans="1:19" ht="12.75">
      <c r="A22" s="10">
        <v>250</v>
      </c>
      <c r="B22" s="15">
        <v>50</v>
      </c>
      <c r="C22" s="12">
        <v>4</v>
      </c>
      <c r="D22" s="32">
        <v>4</v>
      </c>
      <c r="E22" s="15">
        <v>0.75</v>
      </c>
      <c r="F22" s="12">
        <f>1200*G22*I22^2/C22/2/32.17*P22/100</f>
        <v>17.74732781656386</v>
      </c>
      <c r="G22" s="13">
        <f>LOG((0.00015*12/C22/3.7)+5.74/H22^0.9)^-2*0.25</f>
        <v>0.018685236328012503</v>
      </c>
      <c r="H22" s="16">
        <f>7745.8*I22*C22/1</f>
        <v>197759.95625000002</v>
      </c>
      <c r="I22" s="12">
        <f>0.4085*A22/C22^2</f>
        <v>6.3828125</v>
      </c>
      <c r="J22" s="30">
        <f>((64.34*(B22-F22))^0.5)</f>
        <v>45.55367085408465</v>
      </c>
      <c r="K22" s="30">
        <f>0.4085*A22/D22/E22^2</f>
        <v>45.388888888888886</v>
      </c>
      <c r="L22" s="32">
        <f>0.000002929*A22*K22^2/D22*1000</f>
        <v>377.1364353780864</v>
      </c>
      <c r="M22" s="16">
        <f>0.9*0.5*L22*D22</f>
        <v>678.8455836805555</v>
      </c>
      <c r="N22" s="33">
        <f>(M22-'500 feet'!M22)/'500 feet'!M22</f>
        <v>0</v>
      </c>
      <c r="O22" s="14">
        <f>M22*0.07*24*30/1000</f>
        <v>34.2138174175</v>
      </c>
      <c r="P22" s="15">
        <v>500</v>
      </c>
      <c r="Q22" s="16">
        <f>0.5*229.2*K22/R22</f>
        <v>1300.3916666666664</v>
      </c>
      <c r="R22" s="15">
        <v>4</v>
      </c>
      <c r="S22" s="35">
        <f>(Q22-'500 feet'!P22)/'500 feet'!P22</f>
        <v>0</v>
      </c>
    </row>
    <row r="23" spans="1:19" ht="12.75">
      <c r="A23" s="10">
        <v>310</v>
      </c>
      <c r="B23" s="15">
        <v>75</v>
      </c>
      <c r="C23" s="12">
        <v>4</v>
      </c>
      <c r="D23" s="32">
        <v>4</v>
      </c>
      <c r="E23" s="15">
        <v>0.75</v>
      </c>
      <c r="F23" s="12">
        <f>1200*G23*I23^2/C23/2/32.17*P23/100</f>
        <v>26.7650825132285</v>
      </c>
      <c r="G23" s="13">
        <f>LOG((0.00015*12/C23/3.7)+5.74/H23^0.9)^-2*0.25</f>
        <v>0.01832697721901916</v>
      </c>
      <c r="H23" s="16">
        <f>7745.8*I23*C23/1</f>
        <v>245222.34574999998</v>
      </c>
      <c r="I23" s="12">
        <f>0.4085*A23/C23^2</f>
        <v>7.914687499999999</v>
      </c>
      <c r="J23" s="30">
        <f>((64.34*(B23-F23))^0.5)</f>
        <v>55.70847862847162</v>
      </c>
      <c r="K23" s="30">
        <f>0.4085*A23/D23/E23^2</f>
        <v>56.28222222222222</v>
      </c>
      <c r="L23" s="32">
        <f>0.000002929*A23*K23^2/D23*1000</f>
        <v>719.0573789663084</v>
      </c>
      <c r="M23" s="16">
        <f>0.9*0.5*L23*D23</f>
        <v>1294.3032821393551</v>
      </c>
      <c r="N23" s="33">
        <f>(M23-'500 feet'!M23)/'500 feet'!M23</f>
        <v>0.039730543277444366</v>
      </c>
      <c r="O23" s="14">
        <f>M23*0.07*24*30/1000</f>
        <v>65.2328854198235</v>
      </c>
      <c r="P23" s="15">
        <v>500</v>
      </c>
      <c r="Q23" s="16">
        <f>0.5*229.2*K23/R23</f>
        <v>1612.4856666666665</v>
      </c>
      <c r="R23" s="15">
        <v>4</v>
      </c>
      <c r="S23" s="35">
        <f>(Q23-'500 feet'!P23)/'500 feet'!P23</f>
        <v>0.013071895424836635</v>
      </c>
    </row>
    <row r="24" spans="1:19" ht="12.75">
      <c r="A24" s="10">
        <v>355</v>
      </c>
      <c r="B24" s="15">
        <v>100</v>
      </c>
      <c r="C24" s="12">
        <v>4</v>
      </c>
      <c r="D24" s="32">
        <v>4</v>
      </c>
      <c r="E24" s="15">
        <v>0.75</v>
      </c>
      <c r="F24" s="12">
        <f>1200*G24*I24^2/C24/2/32.17*P24/100</f>
        <v>34.71492806688209</v>
      </c>
      <c r="G24" s="13">
        <f>LOG((0.00015*12/C24/3.7)+5.74/H24^0.9)^-2*0.25</f>
        <v>0.018126134768422352</v>
      </c>
      <c r="H24" s="16">
        <f>7745.8*I24*C24/1</f>
        <v>280819.13787499996</v>
      </c>
      <c r="I24" s="12">
        <f>0.4085*A24/C24^2</f>
        <v>9.063593749999999</v>
      </c>
      <c r="J24" s="30">
        <f>((64.34*(B24-F24))^0.5)</f>
        <v>64.81081335839573</v>
      </c>
      <c r="K24" s="30">
        <f>0.4085*A24/D24/E24^2</f>
        <v>64.45222222222222</v>
      </c>
      <c r="L24" s="32">
        <f>0.000002929*A24*K24^2/D24*1000</f>
        <v>1079.8502297808502</v>
      </c>
      <c r="M24" s="16">
        <f>0.9*0.5*L24*D24</f>
        <v>1943.7304136055304</v>
      </c>
      <c r="N24" s="33">
        <f>(M24-'500 feet'!M24)/'500 feet'!M24</f>
        <v>0</v>
      </c>
      <c r="O24" s="14">
        <f>M24*0.07*24*30/1000</f>
        <v>97.96401284571876</v>
      </c>
      <c r="P24" s="15">
        <v>500</v>
      </c>
      <c r="Q24" s="16">
        <f>0.5*229.2*K24/R24</f>
        <v>1231.0374444444444</v>
      </c>
      <c r="R24" s="15">
        <v>6</v>
      </c>
      <c r="S24" s="35">
        <f>(Q24-'500 feet'!P24)/'500 feet'!P24</f>
        <v>0</v>
      </c>
    </row>
    <row r="25" spans="1:19" ht="12.75">
      <c r="A25" s="10">
        <v>440</v>
      </c>
      <c r="B25" s="15">
        <v>150</v>
      </c>
      <c r="C25" s="12">
        <v>4</v>
      </c>
      <c r="D25" s="32">
        <v>4</v>
      </c>
      <c r="E25" s="15">
        <v>0.75</v>
      </c>
      <c r="F25" s="12">
        <f>1200*G25*I25^2/C25/2/32.17*P25/100</f>
        <v>52.49889451418254</v>
      </c>
      <c r="G25" s="13">
        <f>LOG((0.00015*12/C25/3.7)+5.74/H25^0.9)^-2*0.25</f>
        <v>0.017843927356491745</v>
      </c>
      <c r="H25" s="16">
        <f>7745.8*I25*C25/1</f>
        <v>348057.523</v>
      </c>
      <c r="I25" s="12">
        <f>0.4085*A25/C25^2</f>
        <v>11.233749999999999</v>
      </c>
      <c r="J25" s="30">
        <f>((64.34*(B25-F25))^0.5)</f>
        <v>79.20366864582408</v>
      </c>
      <c r="K25" s="30">
        <f>0.4085*A25/D25/E25^2</f>
        <v>79.88444444444444</v>
      </c>
      <c r="L25" s="32">
        <f>0.000002929*A25*K25^2/D25*1000</f>
        <v>2056.063367119802</v>
      </c>
      <c r="M25" s="16">
        <f>0.9*0.5*L25*D25</f>
        <v>3700.9140608156436</v>
      </c>
      <c r="N25" s="33">
        <f>(M25-'500 feet'!M25)/'500 feet'!M25</f>
        <v>0.02073667341242269</v>
      </c>
      <c r="O25" s="14">
        <f>M25*0.07*24*30/1000</f>
        <v>186.52606866510843</v>
      </c>
      <c r="P25" s="15">
        <v>500</v>
      </c>
      <c r="Q25" s="16">
        <f>0.5*229.2*K25/R25</f>
        <v>1144.3446666666666</v>
      </c>
      <c r="R25" s="15">
        <v>8</v>
      </c>
      <c r="S25" s="35">
        <f>(Q25-'500 feet'!P25)/'500 feet'!P25</f>
        <v>0.006864988558352343</v>
      </c>
    </row>
    <row r="26" spans="1:19" ht="12.75">
      <c r="A26" s="10"/>
      <c r="B26" s="15"/>
      <c r="C26" s="10"/>
      <c r="D26" s="16"/>
      <c r="E26" s="15"/>
      <c r="F26" s="12"/>
      <c r="G26" s="10"/>
      <c r="H26" s="10"/>
      <c r="I26" s="10"/>
      <c r="J26" s="10"/>
      <c r="K26" s="10"/>
      <c r="L26" s="16"/>
      <c r="M26" s="16"/>
      <c r="N26" s="33"/>
      <c r="O26" s="10"/>
      <c r="P26" s="15"/>
      <c r="Q26" s="10"/>
      <c r="S26" s="10"/>
    </row>
    <row r="27" spans="1:19" ht="12.75">
      <c r="A27" s="10"/>
      <c r="B27" s="15"/>
      <c r="C27" s="10"/>
      <c r="D27" s="16"/>
      <c r="E27" s="15"/>
      <c r="F27" s="12"/>
      <c r="G27" s="10"/>
      <c r="H27" s="10"/>
      <c r="I27" s="10"/>
      <c r="J27" s="10"/>
      <c r="K27" s="10"/>
      <c r="L27" s="16"/>
      <c r="M27" s="16"/>
      <c r="N27" s="33"/>
      <c r="O27" s="10"/>
      <c r="P27" s="15"/>
      <c r="Q27" s="10"/>
      <c r="S27" s="10"/>
    </row>
    <row r="28" spans="1:19" ht="12.75">
      <c r="A28" s="9" t="s">
        <v>48</v>
      </c>
      <c r="B28" s="15"/>
      <c r="C28" s="12"/>
      <c r="D28" s="16"/>
      <c r="E28" s="15"/>
      <c r="F28" s="12"/>
      <c r="G28" s="12"/>
      <c r="H28" s="12"/>
      <c r="I28" s="12"/>
      <c r="J28" s="12"/>
      <c r="K28" s="12"/>
      <c r="L28" s="16"/>
      <c r="M28" s="16"/>
      <c r="N28" s="33"/>
      <c r="O28" s="14"/>
      <c r="P28" s="15"/>
      <c r="Q28" s="10"/>
      <c r="S28" s="10"/>
    </row>
    <row r="29" spans="1:19" ht="76.5">
      <c r="A29" s="9" t="s">
        <v>0</v>
      </c>
      <c r="B29" s="17" t="s">
        <v>18</v>
      </c>
      <c r="C29" s="23" t="s">
        <v>14</v>
      </c>
      <c r="D29" s="24" t="s">
        <v>15</v>
      </c>
      <c r="E29" s="17" t="s">
        <v>13</v>
      </c>
      <c r="F29" s="23" t="s">
        <v>12</v>
      </c>
      <c r="G29" s="19" t="s">
        <v>1</v>
      </c>
      <c r="H29" s="20" t="s">
        <v>2</v>
      </c>
      <c r="I29" s="18" t="s">
        <v>11</v>
      </c>
      <c r="J29" s="17" t="s">
        <v>10</v>
      </c>
      <c r="K29" s="18" t="s">
        <v>17</v>
      </c>
      <c r="L29" s="24" t="s">
        <v>39</v>
      </c>
      <c r="M29" s="24" t="s">
        <v>40</v>
      </c>
      <c r="N29" s="34" t="s">
        <v>16</v>
      </c>
      <c r="O29" s="22" t="s">
        <v>7</v>
      </c>
      <c r="P29" s="18" t="s">
        <v>8</v>
      </c>
      <c r="Q29" s="20" t="s">
        <v>3</v>
      </c>
      <c r="R29" s="17" t="s">
        <v>4</v>
      </c>
      <c r="S29" s="36" t="s">
        <v>37</v>
      </c>
    </row>
    <row r="30" spans="1:19" ht="12.75">
      <c r="A30" s="10">
        <v>500</v>
      </c>
      <c r="B30" s="15">
        <v>25</v>
      </c>
      <c r="C30" s="12">
        <v>6</v>
      </c>
      <c r="D30" s="32">
        <v>4</v>
      </c>
      <c r="E30" s="15">
        <v>1.25</v>
      </c>
      <c r="F30" s="12">
        <f>1200*G30*I30^2/C30/2/32.17*P30/100</f>
        <v>8.642296670087067</v>
      </c>
      <c r="G30" s="13">
        <f>LOG((0.00015*12/C30/3.7)+5.74/H30^0.9)^-2*0.25</f>
        <v>0.0172739277287484</v>
      </c>
      <c r="H30" s="16">
        <f>7745.8*I30*C30/1</f>
        <v>263679.94166666665</v>
      </c>
      <c r="I30" s="12">
        <f>0.4085*A30/C30^2</f>
        <v>5.673611111111111</v>
      </c>
      <c r="J30" s="30">
        <f>((64.34*(B30-F30))^0.5)</f>
        <v>32.44155717974398</v>
      </c>
      <c r="K30" s="30">
        <f>0.4085*A30/D30/E30^2</f>
        <v>32.68</v>
      </c>
      <c r="L30" s="32">
        <f>0.000002929*A30*K30^2/D30*1000</f>
        <v>391.01505619999995</v>
      </c>
      <c r="M30" s="16">
        <f>0.9*0.5*L30*D30</f>
        <v>703.8271011599999</v>
      </c>
      <c r="N30" s="33">
        <f>(M30-'500 feet'!M30)/'500 feet'!M30</f>
        <v>0.6300451532569454</v>
      </c>
      <c r="O30" s="14">
        <f>M30*0.07*24*30/1000</f>
        <v>35.47288589846399</v>
      </c>
      <c r="P30" s="15">
        <v>500</v>
      </c>
      <c r="Q30" s="16">
        <f>0.5*229.2*K30/R30</f>
        <v>936.2819999999999</v>
      </c>
      <c r="R30" s="15">
        <v>4</v>
      </c>
      <c r="S30" s="35">
        <f>(Q30-'500 feet'!P30)/'500 feet'!P30</f>
        <v>-0.16279069767441864</v>
      </c>
    </row>
    <row r="31" spans="1:19" ht="12.75">
      <c r="A31" s="10">
        <v>710</v>
      </c>
      <c r="B31" s="15">
        <v>50</v>
      </c>
      <c r="C31" s="12">
        <v>6</v>
      </c>
      <c r="D31" s="32">
        <v>4</v>
      </c>
      <c r="E31" s="15">
        <v>1.25</v>
      </c>
      <c r="F31" s="12">
        <f>1200*G31*I31^2/C31/2/32.17*P31/100</f>
        <v>16.88165055110968</v>
      </c>
      <c r="G31" s="13">
        <f>LOG((0.00015*12/C31/3.7)+5.74/H31^0.9)^-2*0.25</f>
        <v>0.016734014658898205</v>
      </c>
      <c r="H31" s="16">
        <f>7745.8*I31*C31/1</f>
        <v>374425.5171666667</v>
      </c>
      <c r="I31" s="12">
        <f>0.4085*A31/C31^2</f>
        <v>8.056527777777777</v>
      </c>
      <c r="J31" s="30">
        <f>((64.34*(B31-F31))^0.5)</f>
        <v>46.160964066423084</v>
      </c>
      <c r="K31" s="30">
        <f>0.4085*A31/D31/E31^2</f>
        <v>46.40559999999999</v>
      </c>
      <c r="L31" s="32">
        <f>0.000002929*A31*K31^2/D31*1000</f>
        <v>1119.588718236785</v>
      </c>
      <c r="M31" s="16">
        <f>0.9*0.5*L31*D31</f>
        <v>2015.2596928262133</v>
      </c>
      <c r="N31" s="33">
        <f>(M31-'500 feet'!M31)/'500 feet'!M31</f>
        <v>0.7179727999999994</v>
      </c>
      <c r="O31" s="14">
        <f>M31*0.07*24*30/1000</f>
        <v>101.56908851844116</v>
      </c>
      <c r="P31" s="15">
        <v>500</v>
      </c>
      <c r="Q31" s="16">
        <f>0.5*229.2*K31/R31</f>
        <v>1329.5204399999998</v>
      </c>
      <c r="R31" s="15">
        <v>4</v>
      </c>
      <c r="S31" s="35">
        <f>(Q31-'500 feet'!P31)/'500 feet'!P31</f>
        <v>-0.14800000000000016</v>
      </c>
    </row>
    <row r="32" spans="1:19" ht="12.75">
      <c r="A32" s="10">
        <v>900</v>
      </c>
      <c r="B32" s="15">
        <v>75</v>
      </c>
      <c r="C32" s="12">
        <v>6</v>
      </c>
      <c r="D32" s="32">
        <v>4</v>
      </c>
      <c r="E32" s="15">
        <v>1.25</v>
      </c>
      <c r="F32" s="12">
        <f>1200*G32*I32^2/C32/2/32.17*P32/100</f>
        <v>26.63786919236952</v>
      </c>
      <c r="G32" s="13">
        <f>LOG((0.00015*12/C32/3.7)+5.74/H32^0.9)^-2*0.25</f>
        <v>0.01643298275261039</v>
      </c>
      <c r="H32" s="16">
        <f>7745.8*I32*C32/1</f>
        <v>474623.8949999999</v>
      </c>
      <c r="I32" s="12">
        <f>0.4085*A32/C32^2</f>
        <v>10.212499999999999</v>
      </c>
      <c r="J32" s="30">
        <f>((64.34*(B32-F32))^0.5)</f>
        <v>55.78189218880035</v>
      </c>
      <c r="K32" s="30">
        <f>0.4085*A32/D32/E32^2</f>
        <v>58.824</v>
      </c>
      <c r="L32" s="32">
        <f>0.000002929*A32*K32^2/D32*1000</f>
        <v>2280.3998077583997</v>
      </c>
      <c r="M32" s="16">
        <f>0.9*0.5*L32*D32</f>
        <v>4104.7196539651195</v>
      </c>
      <c r="N32" s="33">
        <f>(M32-'500 feet'!M32)/'500 feet'!M32</f>
        <v>0.8652083785758004</v>
      </c>
      <c r="O32" s="14">
        <f>M32*0.07*24*30/1000</f>
        <v>206.87787055984202</v>
      </c>
      <c r="P32" s="15">
        <v>500</v>
      </c>
      <c r="Q32" s="16">
        <f>0.5*229.2*K32/R32</f>
        <v>1123.5384</v>
      </c>
      <c r="R32" s="15">
        <v>6</v>
      </c>
      <c r="S32" s="35">
        <f>(Q32-'500 feet'!P32)/'500 feet'!P32</f>
        <v>-0.12432432432432422</v>
      </c>
    </row>
    <row r="33" spans="1:19" ht="12.75">
      <c r="A33" s="10">
        <v>1000</v>
      </c>
      <c r="B33" s="15">
        <v>100</v>
      </c>
      <c r="C33" s="12">
        <v>6</v>
      </c>
      <c r="D33" s="32">
        <v>4</v>
      </c>
      <c r="E33" s="15">
        <v>1.25</v>
      </c>
      <c r="F33" s="12">
        <f>1200*G33*I33^2/C33/2/32.17*P33/100</f>
        <v>32.64827801322544</v>
      </c>
      <c r="G33" s="13">
        <f>LOG((0.00015*12/C33/3.7)+5.74/H33^0.9)^-2*0.25</f>
        <v>0.016314066052041123</v>
      </c>
      <c r="H33" s="16">
        <f>7745.8*I33*C33/1</f>
        <v>527359.8833333333</v>
      </c>
      <c r="I33" s="12">
        <f>0.4085*A33/C33^2</f>
        <v>11.347222222222221</v>
      </c>
      <c r="J33" s="30">
        <f>((64.34*(B33-F33))^0.5)</f>
        <v>65.82863960791742</v>
      </c>
      <c r="K33" s="30">
        <f>0.4085*A33/D33/E33^2</f>
        <v>65.36</v>
      </c>
      <c r="L33" s="32">
        <f>0.000002929*A33*K33^2/D33*1000</f>
        <v>3128.1204495999996</v>
      </c>
      <c r="M33" s="16">
        <f>0.9*0.5*L33*D33</f>
        <v>5630.616809279999</v>
      </c>
      <c r="N33" s="33">
        <f>(M33-'500 feet'!M33)/'500 feet'!M33</f>
        <v>0.6882556482800738</v>
      </c>
      <c r="O33" s="14">
        <f>M33*0.07*24*30/1000</f>
        <v>283.78308718771194</v>
      </c>
      <c r="P33" s="15">
        <v>500</v>
      </c>
      <c r="Q33" s="16">
        <f>0.5*229.2*K33/R33</f>
        <v>1248.376</v>
      </c>
      <c r="R33" s="15">
        <v>6</v>
      </c>
      <c r="S33" s="35">
        <f>(Q33-'500 feet'!P33)/'500 feet'!P33</f>
        <v>-0.15294117647058814</v>
      </c>
    </row>
    <row r="34" spans="1:19" ht="12.75">
      <c r="A34" s="10">
        <v>1230</v>
      </c>
      <c r="B34" s="15">
        <v>150</v>
      </c>
      <c r="C34" s="12">
        <v>6</v>
      </c>
      <c r="D34" s="32">
        <v>4</v>
      </c>
      <c r="E34" s="15">
        <v>1.25</v>
      </c>
      <c r="F34" s="12">
        <f>1200*G34*I34^2/C34/2/32.17*P34/100</f>
        <v>48.759333359062964</v>
      </c>
      <c r="G34" s="13">
        <f>LOG((0.00015*12/C34/3.7)+5.74/H34^0.9)^-2*0.25</f>
        <v>0.016104582583286575</v>
      </c>
      <c r="H34" s="16">
        <f>7745.8*I34*C34/1</f>
        <v>648652.6565</v>
      </c>
      <c r="I34" s="12">
        <f>0.4085*A34/C34^2</f>
        <v>13.957083333333333</v>
      </c>
      <c r="J34" s="30">
        <f>((64.34*(B34-F34))^0.5)</f>
        <v>80.70826780248656</v>
      </c>
      <c r="K34" s="30">
        <f>0.4085*A34/D34/E34^2</f>
        <v>80.3928</v>
      </c>
      <c r="L34" s="32">
        <f>0.000002929*A34*K34^2/D34*1000</f>
        <v>5821.0161166858015</v>
      </c>
      <c r="M34" s="16">
        <f>0.9*0.5*L34*D34</f>
        <v>10477.829010034444</v>
      </c>
      <c r="N34" s="33">
        <f>(M34-'500 feet'!M34)/'500 feet'!M34</f>
        <v>0.6666423976676384</v>
      </c>
      <c r="O34" s="14">
        <f>M34*0.07*24*30/1000</f>
        <v>528.082582105736</v>
      </c>
      <c r="P34" s="15">
        <v>500</v>
      </c>
      <c r="Q34" s="16">
        <f>0.5*229.2*K34/R34</f>
        <v>1151.6268599999999</v>
      </c>
      <c r="R34" s="15">
        <v>8</v>
      </c>
      <c r="S34" s="35">
        <f>(Q34-'500 feet'!P34)/'500 feet'!P34</f>
        <v>-0.1565714285714286</v>
      </c>
    </row>
    <row r="35" spans="1:19" ht="12.75">
      <c r="A35" s="10"/>
      <c r="B35" s="15"/>
      <c r="C35" s="10"/>
      <c r="D35" s="16"/>
      <c r="E35" s="15"/>
      <c r="F35" s="12"/>
      <c r="G35" s="10"/>
      <c r="H35" s="10"/>
      <c r="I35" s="10"/>
      <c r="J35" s="10"/>
      <c r="K35" s="10"/>
      <c r="L35" s="16"/>
      <c r="M35" s="16"/>
      <c r="N35" s="33"/>
      <c r="O35" s="10"/>
      <c r="P35" s="15"/>
      <c r="Q35" s="10"/>
      <c r="S35" s="10"/>
    </row>
    <row r="36" spans="1:19" ht="12.75">
      <c r="A36" s="10"/>
      <c r="B36" s="15"/>
      <c r="C36" s="10"/>
      <c r="D36" s="10"/>
      <c r="E36" s="15"/>
      <c r="F36" s="12"/>
      <c r="G36" s="10"/>
      <c r="H36" s="10"/>
      <c r="I36" s="10"/>
      <c r="J36" s="10"/>
      <c r="K36" s="10"/>
      <c r="L36" s="16"/>
      <c r="M36" s="16"/>
      <c r="N36" s="10"/>
      <c r="O36" s="10"/>
      <c r="P36" s="15"/>
      <c r="Q36" s="10"/>
      <c r="S36" s="10"/>
    </row>
    <row r="37" spans="1:19" ht="12.75">
      <c r="A37" s="10"/>
      <c r="B37" s="15"/>
      <c r="C37" s="10"/>
      <c r="D37" s="10"/>
      <c r="E37" s="15"/>
      <c r="F37" s="12"/>
      <c r="G37" s="10"/>
      <c r="H37" s="10"/>
      <c r="I37" s="10"/>
      <c r="J37" s="10"/>
      <c r="K37" s="10"/>
      <c r="L37" s="16"/>
      <c r="M37" s="16"/>
      <c r="N37" s="10"/>
      <c r="O37" s="10"/>
      <c r="P37" s="15"/>
      <c r="Q37" s="10"/>
      <c r="S37" s="10"/>
    </row>
    <row r="38" spans="1:19" ht="12.75">
      <c r="A38" s="10"/>
      <c r="B38" s="15"/>
      <c r="C38" s="10"/>
      <c r="D38" s="10"/>
      <c r="E38" s="15"/>
      <c r="F38" s="12"/>
      <c r="G38" s="10"/>
      <c r="H38" s="10"/>
      <c r="I38" s="10"/>
      <c r="J38" s="10"/>
      <c r="K38" s="10"/>
      <c r="L38" s="16"/>
      <c r="M38" s="16"/>
      <c r="N38" s="10"/>
      <c r="O38" s="10"/>
      <c r="P38" s="15"/>
      <c r="Q38" s="10"/>
      <c r="S38" s="10"/>
    </row>
    <row r="39" spans="1:19" ht="12.75">
      <c r="A39" s="10"/>
      <c r="B39" s="15"/>
      <c r="C39" s="10"/>
      <c r="D39" s="10"/>
      <c r="E39" s="15"/>
      <c r="F39" s="12"/>
      <c r="G39" s="10"/>
      <c r="H39" s="10"/>
      <c r="I39" s="10"/>
      <c r="J39" s="10"/>
      <c r="K39" s="10"/>
      <c r="L39" s="16"/>
      <c r="M39" s="16"/>
      <c r="N39" s="10"/>
      <c r="O39" s="10"/>
      <c r="P39" s="15"/>
      <c r="Q39" s="10"/>
      <c r="S39" s="10"/>
    </row>
  </sheetData>
  <printOptions/>
  <pageMargins left="0.75" right="0.75" top="1" bottom="0.45" header="0.5" footer="0.36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jzc</dc:creator>
  <cp:keywords/>
  <dc:description/>
  <cp:lastModifiedBy>jzc</cp:lastModifiedBy>
  <cp:lastPrinted>2008-01-29T19:07:26Z</cp:lastPrinted>
  <dcterms:created xsi:type="dcterms:W3CDTF">2008-01-18T00:38:06Z</dcterms:created>
  <dcterms:modified xsi:type="dcterms:W3CDTF">2008-02-12T14:48:34Z</dcterms:modified>
  <cp:category/>
  <cp:version/>
  <cp:contentType/>
  <cp:contentStatus/>
</cp:coreProperties>
</file>